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20永年保存(新）\◆規程・細則・手引\積金規程R6.4.1\"/>
    </mc:Choice>
  </mc:AlternateContent>
  <xr:revisionPtr revIDLastSave="0" documentId="8_{96BBAA1F-0BF7-4514-AF4C-9831B67998E1}" xr6:coauthVersionLast="47" xr6:coauthVersionMax="47" xr10:uidLastSave="{00000000-0000-0000-0000-000000000000}"/>
  <workbookProtection workbookAlgorithmName="SHA-512" workbookHashValue="7Kg6j3MI/vvkkN18fLZSYVpRFE19qAan3mZBCioqPrZC59d2CFAyRc3HOvCHqBPh0b8IRuchhJiSXpMhPey+QQ==" workbookSaltValue="xYYrSpUKDBvg2ScSqi7Vog==" workbookSpinCount="100000" lockStructure="1"/>
  <bookViews>
    <workbookView xWindow="-120" yWindow="-120" windowWidth="20730" windowHeight="11160" tabRatio="812" xr2:uid="{00000000-000D-0000-FFFF-FFFF00000000}"/>
  </bookViews>
  <sheets>
    <sheet name="積金給付請求書（様式８）" sheetId="8" r:id="rId1"/>
    <sheet name="Sheet2" sheetId="15" r:id="rId2"/>
    <sheet name="Sheet1" sheetId="14" r:id="rId3"/>
  </sheets>
  <definedNames>
    <definedName name="_xlnm.Print_Area" localSheetId="0">'積金給付請求書（様式８）'!$A$1:$M$60</definedName>
    <definedName name="入力順" localSheetId="0">'積金給付請求書（様式８）'!$H$3,'積金給付請求書（様式８）'!$H$4,'積金給付請求書（様式８）'!$H$5,'積金給付請求書（様式８）'!$C$10,'積金給付請求書（様式８）'!$C$11,'積金給付請求書（様式８）'!$C$12,'積金給付請求書（様式８）'!$C$13,'積金給付請求書（様式８）'!$C$14,'積金給付請求書（様式８）'!$E$14,'積金給付請求書（様式８）'!$I$10,'積金給付請求書（様式８）'!$I$11,'積金給付請求書（様式８）'!$I$12,'積金給付請求書（様式８）'!$F$15,'積金給付請求書（様式８）'!$F$16,'積金給付請求書（様式８）'!$F$17,'積金給付請求書（様式８）'!$F$18,'積金給付請求書（様式８）'!$C$55,'積金給付請求書（様式８）'!$F$55,'積金給付請求書（様式８）'!$H$55,'積金給付請求書（様式８）'!$J$55,'積金給付請求書（様式８）'!$C$58,'積金給付請求書（様式８）'!$E$58,'積金給付請求書（様式８）'!$H$57,'積金給付請求書（様式８）'!$H$58</definedName>
    <definedName name="入力順">#REF!,#REF!,#REF!,#REF!,#REF!,#REF!,#REF!,#REF!,#REF!,#REF!,#REF!,#REF!,#REF!,#REF!,#REF!,#REF!,#REF!,#REF!,#REF!,#REF!,#REF!,#REF!,#REF!,#REF!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8" l="1"/>
  <c r="A15" i="8"/>
  <c r="Y26" i="8"/>
  <c r="K32" i="8" l="1"/>
  <c r="AX32" i="8" l="1"/>
  <c r="AV32" i="8"/>
  <c r="AX31" i="8"/>
  <c r="M16" i="8"/>
  <c r="M18" i="8"/>
  <c r="M14" i="8"/>
  <c r="M21" i="8" s="1"/>
  <c r="A18" i="8"/>
  <c r="G11" i="8"/>
  <c r="G12" i="8"/>
  <c r="C14" i="8"/>
  <c r="A17" i="8"/>
  <c r="A19" i="8"/>
  <c r="A20" i="8"/>
  <c r="M45" i="8"/>
  <c r="M32" i="8"/>
  <c r="M31" i="8"/>
  <c r="R61" i="8"/>
  <c r="S72" i="8" s="1"/>
  <c r="K45" i="8"/>
  <c r="M43" i="8"/>
  <c r="M30" i="8"/>
  <c r="AD54" i="8"/>
  <c r="U66" i="8" l="1"/>
  <c r="V66" i="8"/>
  <c r="V64" i="8"/>
  <c r="U65" i="8"/>
  <c r="V67" i="8"/>
  <c r="V68" i="8"/>
  <c r="R69" i="8"/>
  <c r="U64" i="8"/>
  <c r="R67" i="8"/>
  <c r="U70" i="8"/>
  <c r="V65" i="8"/>
  <c r="R68" i="8"/>
  <c r="T71" i="8"/>
  <c r="R64" i="8"/>
  <c r="R65" i="8"/>
  <c r="S66" i="8"/>
  <c r="S67" i="8"/>
  <c r="S68" i="8"/>
  <c r="V69" i="8"/>
  <c r="U71" i="8"/>
  <c r="S64" i="8"/>
  <c r="T65" i="8"/>
  <c r="T66" i="8"/>
  <c r="T67" i="8"/>
  <c r="U68" i="8"/>
  <c r="R70" i="8"/>
  <c r="V72" i="8"/>
  <c r="T64" i="8"/>
  <c r="S65" i="8"/>
  <c r="R66" i="8"/>
  <c r="U67" i="8"/>
  <c r="T68" i="8"/>
  <c r="S69" i="8"/>
  <c r="V70" i="8"/>
  <c r="U72" i="8"/>
  <c r="T69" i="8"/>
  <c r="S70" i="8"/>
  <c r="R71" i="8"/>
  <c r="V71" i="8"/>
  <c r="T72" i="8"/>
  <c r="U69" i="8"/>
  <c r="T70" i="8"/>
  <c r="S71" i="8"/>
  <c r="R72" i="8"/>
  <c r="AE54" i="8"/>
  <c r="AS53" i="8"/>
  <c r="AR53" i="8"/>
  <c r="AG38" i="8"/>
  <c r="AE53" i="8"/>
  <c r="AD53" i="8"/>
  <c r="M13" i="8"/>
  <c r="AB39" i="8"/>
  <c r="AC39" i="8"/>
  <c r="AP39" i="8"/>
  <c r="AQ39" i="8"/>
  <c r="AX44" i="8"/>
  <c r="AJ44" i="8"/>
  <c r="AL50" i="8"/>
  <c r="AL49" i="8"/>
  <c r="AO48" i="8"/>
  <c r="AM48" i="8"/>
  <c r="AM47" i="8"/>
  <c r="AL47" i="8"/>
  <c r="AL46" i="8"/>
  <c r="AL45" i="8"/>
  <c r="AL44" i="8"/>
  <c r="AL43" i="8"/>
  <c r="AL42" i="8"/>
  <c r="AL41" i="8"/>
  <c r="AL40" i="8"/>
  <c r="AN39" i="8"/>
  <c r="AL39" i="8"/>
  <c r="AU38" i="8"/>
  <c r="AL38" i="8"/>
  <c r="X50" i="8"/>
  <c r="X46" i="8"/>
  <c r="X49" i="8"/>
  <c r="X45" i="8"/>
  <c r="X44" i="8"/>
  <c r="X43" i="8"/>
  <c r="X42" i="8"/>
  <c r="X41" i="8"/>
  <c r="X47" i="8"/>
  <c r="Y48" i="8"/>
  <c r="Y47" i="8"/>
  <c r="AA48" i="8"/>
  <c r="X40" i="8"/>
  <c r="Z39" i="8"/>
  <c r="X39" i="8"/>
  <c r="X38" i="8"/>
  <c r="X37" i="8"/>
  <c r="A39" i="8"/>
  <c r="E38" i="8"/>
  <c r="A38" i="8"/>
  <c r="A37" i="8"/>
  <c r="AL24" i="8"/>
  <c r="AN25" i="8"/>
  <c r="AQ25" i="8"/>
  <c r="AN26" i="8"/>
  <c r="AX30" i="8"/>
  <c r="AO34" i="8"/>
  <c r="Y28" i="8"/>
  <c r="Y27" i="8"/>
  <c r="Z26" i="8"/>
  <c r="AA34" i="8"/>
  <c r="AJ30" i="8"/>
  <c r="Z25" i="8"/>
  <c r="X24" i="8"/>
  <c r="A24" i="8"/>
  <c r="O13" i="8"/>
  <c r="K13" i="8" s="1"/>
  <c r="A52" i="8"/>
  <c r="V43" i="8"/>
  <c r="U43" i="8"/>
  <c r="V31" i="8"/>
  <c r="U31" i="8"/>
  <c r="G23" i="8"/>
  <c r="F23" i="8"/>
  <c r="G53" i="8"/>
  <c r="M52" i="8"/>
  <c r="I52" i="8"/>
  <c r="G52" i="8"/>
  <c r="A51" i="8"/>
  <c r="A49" i="8"/>
  <c r="A48" i="8"/>
  <c r="D47" i="8"/>
  <c r="B47" i="8"/>
  <c r="B46" i="8"/>
  <c r="A46" i="8"/>
  <c r="A45" i="8"/>
  <c r="A44" i="8"/>
  <c r="A43" i="8"/>
  <c r="A42" i="8"/>
  <c r="A41" i="8"/>
  <c r="A40" i="8"/>
  <c r="J37" i="8"/>
  <c r="D34" i="8"/>
  <c r="O19" i="8"/>
  <c r="O18" i="8"/>
  <c r="P18" i="8" s="1"/>
  <c r="O17" i="8"/>
  <c r="O16" i="8"/>
  <c r="P16" i="8" s="1"/>
  <c r="O15" i="8"/>
  <c r="O14" i="8"/>
  <c r="P14" i="8" s="1"/>
  <c r="J13" i="8" l="1"/>
  <c r="N13" i="8"/>
  <c r="J20" i="8"/>
  <c r="P21" i="8" l="1"/>
  <c r="K20" i="8" s="1"/>
  <c r="J21" i="8"/>
  <c r="E22" i="8"/>
  <c r="G22" i="8" l="1"/>
  <c r="M41" i="8" s="1"/>
  <c r="K21" i="8"/>
  <c r="F22" i="8"/>
  <c r="L21" i="8"/>
  <c r="P22" i="8"/>
  <c r="M28" i="8" l="1"/>
  <c r="M39" i="8"/>
  <c r="D46" i="8" s="1"/>
  <c r="K42" i="8"/>
  <c r="K29" i="8" s="1"/>
  <c r="M26" i="8"/>
  <c r="D33" i="8" s="1"/>
  <c r="K26" i="8"/>
  <c r="K27" i="8"/>
  <c r="K40" i="8"/>
  <c r="K43" i="8"/>
  <c r="K30" i="8" s="1"/>
  <c r="S90" i="8"/>
  <c r="M40" i="8"/>
  <c r="M29" i="8"/>
  <c r="M42" i="8"/>
  <c r="K39" i="8"/>
  <c r="K41" i="8"/>
  <c r="V32" i="8" s="1"/>
  <c r="M27" i="8"/>
  <c r="K28" i="8"/>
  <c r="U32" i="8" s="1"/>
  <c r="AS54" i="8"/>
  <c r="AQ40" i="8" s="1"/>
  <c r="AX26" i="8"/>
  <c r="AO33" i="8" s="1"/>
  <c r="AR54" i="8"/>
  <c r="AQ26" i="8" s="1"/>
  <c r="AV28" i="8"/>
  <c r="AJ27" i="8"/>
  <c r="AH27" i="8"/>
  <c r="AX27" i="8"/>
  <c r="AH26" i="8"/>
  <c r="AV26" i="8"/>
  <c r="AJ28" i="8"/>
  <c r="AJ26" i="8"/>
  <c r="AA33" i="8" s="1"/>
  <c r="AG32" i="8" s="1"/>
  <c r="AX28" i="8"/>
  <c r="AH28" i="8"/>
  <c r="AV27" i="8"/>
  <c r="AX43" i="8"/>
  <c r="AV43" i="8"/>
  <c r="AX29" i="8"/>
  <c r="AV41" i="8"/>
  <c r="AH41" i="8"/>
  <c r="AV40" i="8"/>
  <c r="AJ42" i="8"/>
  <c r="AJ43" i="8"/>
  <c r="AJ29" i="8"/>
  <c r="AH43" i="8"/>
  <c r="AJ41" i="8"/>
  <c r="AV42" i="8"/>
  <c r="AV29" i="8" s="1"/>
  <c r="AX40" i="8"/>
  <c r="AO47" i="8" s="1"/>
  <c r="AH40" i="8"/>
  <c r="AH42" i="8"/>
  <c r="AX42" i="8"/>
  <c r="AJ40" i="8"/>
  <c r="AA47" i="8" s="1"/>
  <c r="AX41" i="8"/>
  <c r="E39" i="8" l="1"/>
  <c r="E40" i="8" s="1"/>
  <c r="E41" i="8" s="1"/>
  <c r="E42" i="8" s="1"/>
  <c r="E43" i="8" s="1"/>
  <c r="E44" i="8" s="1"/>
  <c r="E26" i="8"/>
  <c r="AP26" i="8"/>
  <c r="AP40" i="8"/>
  <c r="AM40" i="8"/>
  <c r="AB40" i="8"/>
  <c r="Z40" i="8" s="1"/>
  <c r="Y40" i="8"/>
  <c r="G49" i="8"/>
  <c r="I35" i="8"/>
  <c r="AT35" i="8"/>
  <c r="AM26" i="8"/>
  <c r="AN40" i="8" l="1"/>
  <c r="AC40" i="8"/>
  <c r="C40" i="8"/>
  <c r="AP41" i="8"/>
  <c r="AP42" i="8" s="1"/>
  <c r="AB41" i="8"/>
  <c r="Y41" i="8" s="1"/>
  <c r="B41" i="8"/>
  <c r="AB42" i="8" l="1"/>
  <c r="Y42" i="8" s="1"/>
  <c r="AC42" i="8" s="1"/>
  <c r="Z41" i="8"/>
  <c r="AQ42" i="8"/>
  <c r="AP43" i="8"/>
  <c r="C41" i="8"/>
  <c r="AB43" i="8" l="1"/>
  <c r="Z43" i="8" s="1"/>
  <c r="Z42" i="8"/>
  <c r="B42" i="8"/>
  <c r="AP44" i="8"/>
  <c r="AQ43" i="8"/>
  <c r="C42" i="8"/>
  <c r="AB44" i="8" l="1"/>
  <c r="Z44" i="8" s="1"/>
  <c r="Y43" i="8"/>
  <c r="AC43" i="8" s="1"/>
  <c r="B44" i="8"/>
  <c r="B43" i="8"/>
  <c r="AQ44" i="8"/>
  <c r="AP45" i="8"/>
  <c r="AP46" i="8" s="1"/>
  <c r="C43" i="8"/>
  <c r="Y44" i="8" l="1"/>
  <c r="AC44" i="8" s="1"/>
  <c r="AB45" i="8"/>
  <c r="AB46" i="8" s="1"/>
  <c r="AQ45" i="8"/>
  <c r="E45" i="8"/>
  <c r="C44" i="8"/>
  <c r="Y45" i="8" l="1"/>
  <c r="AC45" i="8" s="1"/>
  <c r="Z45" i="8"/>
  <c r="AH29" i="8"/>
  <c r="AB26" i="8" s="1"/>
  <c r="AC26" i="8" l="1"/>
  <c r="AD26" i="8" l="1"/>
  <c r="AC41" i="8" l="1"/>
  <c r="AC46" i="8" l="1"/>
  <c r="AC49" i="8" l="1"/>
  <c r="AC47" i="8"/>
  <c r="AQ41" i="8"/>
  <c r="AQ46" i="8" l="1"/>
  <c r="AQ47" i="8" s="1"/>
  <c r="AQ49" i="8" l="1"/>
  <c r="AR26" i="8"/>
  <c r="F41" i="8" l="1"/>
  <c r="F42" i="8"/>
  <c r="F43" i="8"/>
  <c r="F44" i="8"/>
  <c r="AP27" i="8"/>
  <c r="AQ27" i="8" s="1"/>
  <c r="E27" i="8"/>
  <c r="C27" i="8" s="1"/>
  <c r="AB27" i="8"/>
  <c r="AB28" i="8" s="1"/>
  <c r="AC28" i="8" l="1"/>
  <c r="AB29" i="8"/>
  <c r="Z28" i="8"/>
  <c r="AR27" i="8"/>
  <c r="AC27" i="8"/>
  <c r="Z27" i="8"/>
  <c r="AP28" i="8"/>
  <c r="E28" i="8"/>
  <c r="AD28" i="8" l="1"/>
  <c r="E29" i="8"/>
  <c r="C28" i="8"/>
  <c r="B28" i="8"/>
  <c r="F28" i="8" s="1"/>
  <c r="AB30" i="8"/>
  <c r="Z29" i="8"/>
  <c r="Y29" i="8"/>
  <c r="AC29" i="8" s="1"/>
  <c r="AQ28" i="8"/>
  <c r="AP29" i="8"/>
  <c r="AD27" i="8"/>
  <c r="AB31" i="8" l="1"/>
  <c r="Y30" i="8"/>
  <c r="AC30" i="8" s="1"/>
  <c r="Z30" i="8"/>
  <c r="AP30" i="8"/>
  <c r="AQ29" i="8"/>
  <c r="AR29" i="8" s="1"/>
  <c r="G28" i="8"/>
  <c r="AR28" i="8"/>
  <c r="AD29" i="8"/>
  <c r="B29" i="8"/>
  <c r="F29" i="8" s="1"/>
  <c r="E30" i="8"/>
  <c r="C29" i="8"/>
  <c r="G29" i="8" l="1"/>
  <c r="AD30" i="8"/>
  <c r="E31" i="8"/>
  <c r="C30" i="8"/>
  <c r="B30" i="8"/>
  <c r="F30" i="8" s="1"/>
  <c r="Y31" i="8"/>
  <c r="AC31" i="8" s="1"/>
  <c r="AC32" i="8" s="1"/>
  <c r="Z31" i="8"/>
  <c r="AP31" i="8"/>
  <c r="AQ30" i="8"/>
  <c r="AB32" i="8"/>
  <c r="G30" i="8" l="1"/>
  <c r="AC35" i="8"/>
  <c r="AC33" i="8"/>
  <c r="C31" i="8"/>
  <c r="B31" i="8"/>
  <c r="F31" i="8" s="1"/>
  <c r="AR30" i="8"/>
  <c r="AQ31" i="8"/>
  <c r="AR31" i="8" s="1"/>
  <c r="AP32" i="8"/>
  <c r="E32" i="8"/>
  <c r="AD31" i="8"/>
  <c r="AD32" i="8" s="1"/>
  <c r="AD35" i="8" s="1"/>
  <c r="AI34" i="8" s="1"/>
  <c r="G31" i="8" l="1"/>
  <c r="AQ32" i="8"/>
  <c r="AR32" i="8"/>
  <c r="AR35" i="8" s="1"/>
  <c r="AG37" i="8" s="1"/>
  <c r="AH35" i="8" l="1"/>
  <c r="K31" i="8" s="1"/>
  <c r="C25" i="8" s="1"/>
  <c r="AK34" i="8"/>
  <c r="AJ34" i="8" s="1"/>
  <c r="AQ35" i="8"/>
  <c r="AI37" i="8" s="1"/>
  <c r="AQ33" i="8"/>
  <c r="F25" i="8" l="1"/>
  <c r="U44" i="8"/>
  <c r="C26" i="8"/>
  <c r="AC50" i="8"/>
  <c r="AQ50" i="8"/>
  <c r="AR50" i="8" s="1"/>
  <c r="B26" i="8" l="1"/>
  <c r="AD50" i="8"/>
  <c r="AD51" i="8"/>
  <c r="AR51" i="8"/>
  <c r="AK48" i="8"/>
  <c r="H51" i="8"/>
  <c r="B27" i="8" l="1"/>
  <c r="F27" i="8" s="1"/>
  <c r="G27" i="8" s="1"/>
  <c r="F26" i="8"/>
  <c r="AH49" i="8"/>
  <c r="K44" i="8" s="1"/>
  <c r="C38" i="8" s="1"/>
  <c r="AI48" i="8"/>
  <c r="AJ48" i="8" s="1"/>
  <c r="AI51" i="8"/>
  <c r="AG51" i="8"/>
  <c r="F38" i="8" l="1"/>
  <c r="F32" i="8"/>
  <c r="G26" i="8"/>
  <c r="G32" i="8" s="1"/>
  <c r="G35" i="8" s="1"/>
  <c r="J51" i="8" s="1"/>
  <c r="V44" i="8"/>
  <c r="B39" i="8" s="1"/>
  <c r="B40" i="8" s="1"/>
  <c r="F40" i="8" s="1"/>
  <c r="C39" i="8"/>
  <c r="H52" i="8" s="1"/>
  <c r="F33" i="8" l="1"/>
  <c r="N10" i="8" s="1"/>
  <c r="F35" i="8"/>
  <c r="F51" i="8" s="1"/>
  <c r="F39" i="8"/>
  <c r="F45" i="8" s="1"/>
  <c r="F48" i="8" l="1"/>
  <c r="F49" i="8" s="1"/>
  <c r="F52" i="8" s="1"/>
  <c r="J52" i="8" s="1"/>
  <c r="J53" i="8" s="1"/>
  <c r="AI57" i="8" s="1"/>
  <c r="F46" i="8"/>
  <c r="N11" i="8" s="1"/>
</calcChain>
</file>

<file path=xl/sharedStrings.xml><?xml version="1.0" encoding="utf-8"?>
<sst xmlns="http://schemas.openxmlformats.org/spreadsheetml/2006/main" count="309" uniqueCount="144">
  <si>
    <t>①加入職員番号</t>
  </si>
  <si>
    <t>④加入日</t>
  </si>
  <si>
    <t>②加入職員氏名</t>
  </si>
  <si>
    <t>③受給者</t>
  </si>
  <si>
    <t>割　合</t>
  </si>
  <si>
    <t>(1)</t>
    <phoneticPr fontId="6"/>
  </si>
  <si>
    <t>(2)</t>
    <phoneticPr fontId="6"/>
  </si>
  <si>
    <t>(3)</t>
    <phoneticPr fontId="6"/>
  </si>
  <si>
    <t>(4)</t>
    <phoneticPr fontId="6"/>
  </si>
  <si>
    <t>小　計…⑭</t>
    <phoneticPr fontId="6"/>
  </si>
  <si>
    <t>附則
適用</t>
    <rPh sb="0" eb="2">
      <t>フソク</t>
    </rPh>
    <rPh sb="3" eb="5">
      <t>テキヨウ</t>
    </rPh>
    <phoneticPr fontId="6"/>
  </si>
  <si>
    <t>給付率・給付額合計（⑭×⑮×⑯）…⑰</t>
    <rPh sb="0" eb="3">
      <t>キュウフリツ</t>
    </rPh>
    <rPh sb="4" eb="6">
      <t>キュウフ</t>
    </rPh>
    <rPh sb="6" eb="7">
      <t>ガク</t>
    </rPh>
    <rPh sb="7" eb="9">
      <t>ゴウケイ</t>
    </rPh>
    <phoneticPr fontId="6"/>
  </si>
  <si>
    <t>社会福祉法人　長野県社会福祉協議会会長　様</t>
    <rPh sb="0" eb="6">
      <t>シャカイフクシホウジン</t>
    </rPh>
    <rPh sb="7" eb="17">
      <t>ナガノケンシャカイフクシキョウギカイ</t>
    </rPh>
    <rPh sb="17" eb="19">
      <t>カイチョウ</t>
    </rPh>
    <rPh sb="20" eb="21">
      <t>サマ</t>
    </rPh>
    <phoneticPr fontId="5"/>
  </si>
  <si>
    <t>団体番号</t>
    <rPh sb="0" eb="4">
      <t>ダンタイバンゴウ</t>
    </rPh>
    <phoneticPr fontId="5"/>
  </si>
  <si>
    <t>団体名</t>
    <rPh sb="0" eb="3">
      <t>ダンタイメイ</t>
    </rPh>
    <phoneticPr fontId="5"/>
  </si>
  <si>
    <t>代表者名</t>
    <rPh sb="0" eb="4">
      <t>ダイヒョウシャメイ</t>
    </rPh>
    <phoneticPr fontId="5"/>
  </si>
  <si>
    <t>１　受給者の状況及び給付金算定の基礎</t>
    <rPh sb="2" eb="5">
      <t>ジュキュウシャ</t>
    </rPh>
    <rPh sb="6" eb="8">
      <t>ジョウキョウ</t>
    </rPh>
    <rPh sb="8" eb="9">
      <t>オヨ</t>
    </rPh>
    <rPh sb="10" eb="13">
      <t>キュウフキン</t>
    </rPh>
    <rPh sb="13" eb="15">
      <t>サンテイ</t>
    </rPh>
    <rPh sb="16" eb="18">
      <t>キソ</t>
    </rPh>
    <phoneticPr fontId="5"/>
  </si>
  <si>
    <t>２　給付請求額（通常給付金）</t>
    <rPh sb="2" eb="7">
      <t>キュウフセイキュウガク</t>
    </rPh>
    <rPh sb="8" eb="13">
      <t>ツウジョウキュウフキン</t>
    </rPh>
    <phoneticPr fontId="5"/>
  </si>
  <si>
    <t>～</t>
    <phoneticPr fontId="5"/>
  </si>
  <si>
    <t>通算</t>
    <rPh sb="0" eb="2">
      <t>ツウサン</t>
    </rPh>
    <phoneticPr fontId="5"/>
  </si>
  <si>
    <t>⑦加入期間</t>
    <phoneticPr fontId="5"/>
  </si>
  <si>
    <t>３　振込先</t>
    <rPh sb="2" eb="5">
      <t>フリコミサキ</t>
    </rPh>
    <phoneticPr fontId="5"/>
  </si>
  <si>
    <t>名義</t>
    <rPh sb="0" eb="2">
      <t>メイギ</t>
    </rPh>
    <phoneticPr fontId="5"/>
  </si>
  <si>
    <t>ﾌﾘｶﾞﾅ</t>
    <phoneticPr fontId="5"/>
  </si>
  <si>
    <t>口座番号</t>
    <rPh sb="0" eb="4">
      <t>コウザバンゴウ</t>
    </rPh>
    <phoneticPr fontId="5"/>
  </si>
  <si>
    <t>※振込先は加入団体となります。</t>
    <rPh sb="1" eb="4">
      <t>フリコミサキ</t>
    </rPh>
    <rPh sb="5" eb="9">
      <t>カニュウダンタイ</t>
    </rPh>
    <phoneticPr fontId="5"/>
  </si>
  <si>
    <t>×</t>
    <phoneticPr fontId="5"/>
  </si>
  <si>
    <t>＝</t>
    <phoneticPr fontId="5"/>
  </si>
  <si>
    <t>㉒</t>
    <phoneticPr fontId="5"/>
  </si>
  <si>
    <t>⑧加入中断期間
 （無給休業・休職）</t>
    <phoneticPr fontId="5"/>
  </si>
  <si>
    <t>規程</t>
    <rPh sb="0" eb="2">
      <t>キテイ</t>
    </rPh>
    <phoneticPr fontId="5"/>
  </si>
  <si>
    <t>24条1項</t>
    <rPh sb="2" eb="3">
      <t>ジョウ</t>
    </rPh>
    <rPh sb="4" eb="5">
      <t>コウ</t>
    </rPh>
    <phoneticPr fontId="5"/>
  </si>
  <si>
    <t>24条2項</t>
    <rPh sb="2" eb="3">
      <t>ジョウ</t>
    </rPh>
    <rPh sb="4" eb="5">
      <t>コウ</t>
    </rPh>
    <phoneticPr fontId="5"/>
  </si>
  <si>
    <t>25条</t>
    <rPh sb="2" eb="3">
      <t>ジョウ</t>
    </rPh>
    <phoneticPr fontId="5"/>
  </si>
  <si>
    <t>26条1項</t>
    <rPh sb="2" eb="3">
      <t>ジョウ</t>
    </rPh>
    <rPh sb="4" eb="5">
      <t>コウ</t>
    </rPh>
    <phoneticPr fontId="5"/>
  </si>
  <si>
    <t>26条2項</t>
    <rPh sb="2" eb="3">
      <t>ジョウ</t>
    </rPh>
    <rPh sb="4" eb="5">
      <t>コウ</t>
    </rPh>
    <phoneticPr fontId="5"/>
  </si>
  <si>
    <t>22条4項</t>
    <rPh sb="2" eb="3">
      <t>ジョウ</t>
    </rPh>
    <rPh sb="4" eb="5">
      <t>コウ</t>
    </rPh>
    <phoneticPr fontId="5"/>
  </si>
  <si>
    <t>附則</t>
    <rPh sb="0" eb="2">
      <t>フソク</t>
    </rPh>
    <phoneticPr fontId="5"/>
  </si>
  <si>
    <t>2項</t>
    <rPh sb="1" eb="2">
      <t>コウ</t>
    </rPh>
    <phoneticPr fontId="5"/>
  </si>
  <si>
    <t>3項</t>
    <rPh sb="1" eb="2">
      <t>コウ</t>
    </rPh>
    <phoneticPr fontId="5"/>
  </si>
  <si>
    <t>4項</t>
    <rPh sb="1" eb="2">
      <t>コウ</t>
    </rPh>
    <phoneticPr fontId="5"/>
  </si>
  <si>
    <t>5項</t>
    <rPh sb="1" eb="2">
      <t>コウ</t>
    </rPh>
    <phoneticPr fontId="5"/>
  </si>
  <si>
    <t>6又は7項</t>
    <rPh sb="1" eb="2">
      <t>マタ</t>
    </rPh>
    <rPh sb="4" eb="5">
      <t>コウ</t>
    </rPh>
    <phoneticPr fontId="5"/>
  </si>
  <si>
    <t>規程等の適用</t>
    <rPh sb="0" eb="2">
      <t>キテイ</t>
    </rPh>
    <rPh sb="2" eb="3">
      <t>トウ</t>
    </rPh>
    <rPh sb="4" eb="6">
      <t>テキヨウ</t>
    </rPh>
    <phoneticPr fontId="5"/>
  </si>
  <si>
    <t>退職事由</t>
    <rPh sb="0" eb="2">
      <t>タイショク</t>
    </rPh>
    <rPh sb="2" eb="4">
      <t>ジユウ</t>
    </rPh>
    <phoneticPr fontId="5"/>
  </si>
  <si>
    <t>(5)</t>
    <phoneticPr fontId="5"/>
  </si>
  <si>
    <t>(6)</t>
    <phoneticPr fontId="6"/>
  </si>
  <si>
    <t>（附則6、7関連）各年度の給付率引下げ割合</t>
    <rPh sb="1" eb="3">
      <t>フソク</t>
    </rPh>
    <rPh sb="6" eb="8">
      <t>カンレン</t>
    </rPh>
    <rPh sb="9" eb="12">
      <t>カクネンド</t>
    </rPh>
    <rPh sb="13" eb="18">
      <t>キュウフリツヒキサ</t>
    </rPh>
    <rPh sb="19" eb="21">
      <t>ワリアイ</t>
    </rPh>
    <phoneticPr fontId="5"/>
  </si>
  <si>
    <t>期間</t>
    <rPh sb="0" eb="2">
      <t>キカン</t>
    </rPh>
    <phoneticPr fontId="5"/>
  </si>
  <si>
    <t>引下割合</t>
    <rPh sb="0" eb="2">
      <t>ヒキサゲ</t>
    </rPh>
    <rPh sb="2" eb="4">
      <t>ワリアイ</t>
    </rPh>
    <phoneticPr fontId="5"/>
  </si>
  <si>
    <t>口座種別</t>
    <rPh sb="0" eb="4">
      <t>コウザシュベツ</t>
    </rPh>
    <phoneticPr fontId="5"/>
  </si>
  <si>
    <t>規程</t>
    <phoneticPr fontId="5"/>
  </si>
  <si>
    <t>附則2項…⑮</t>
    <rPh sb="0" eb="2">
      <t>フソク</t>
    </rPh>
    <rPh sb="3" eb="4">
      <t>コウ</t>
    </rPh>
    <phoneticPr fontId="6"/>
  </si>
  <si>
    <t>附則6又は7項…⑯</t>
    <rPh sb="0" eb="2">
      <t>フソク</t>
    </rPh>
    <rPh sb="3" eb="4">
      <t>マタ</t>
    </rPh>
    <rPh sb="6" eb="7">
      <t>コウ</t>
    </rPh>
    <phoneticPr fontId="6"/>
  </si>
  <si>
    <t>日　付</t>
    <rPh sb="0" eb="1">
      <t>ヒ</t>
    </rPh>
    <rPh sb="2" eb="3">
      <t>ツキ</t>
    </rPh>
    <phoneticPr fontId="5"/>
  </si>
  <si>
    <t xml:space="preserve"> 印</t>
    <rPh sb="1" eb="2">
      <t>イン</t>
    </rPh>
    <phoneticPr fontId="5"/>
  </si>
  <si>
    <t>適用する規程</t>
    <rPh sb="0" eb="2">
      <t>テキヨウ</t>
    </rPh>
    <rPh sb="4" eb="6">
      <t>キテイ</t>
    </rPh>
    <phoneticPr fontId="5"/>
  </si>
  <si>
    <t>年数</t>
    <rPh sb="0" eb="2">
      <t>ネンスウ</t>
    </rPh>
    <phoneticPr fontId="5"/>
  </si>
  <si>
    <t>以上</t>
    <rPh sb="0" eb="2">
      <t>イジョウ</t>
    </rPh>
    <phoneticPr fontId="5"/>
  </si>
  <si>
    <t>未満</t>
    <rPh sb="0" eb="2">
      <t>ミマン</t>
    </rPh>
    <phoneticPr fontId="5"/>
  </si>
  <si>
    <t>以下</t>
    <rPh sb="0" eb="2">
      <t>イカ</t>
    </rPh>
    <phoneticPr fontId="5"/>
  </si>
  <si>
    <t>乗率</t>
    <rPh sb="0" eb="2">
      <t>ジョウリツ</t>
    </rPh>
    <phoneticPr fontId="5"/>
  </si>
  <si>
    <r>
      <t xml:space="preserve">給付額
</t>
    </r>
    <r>
      <rPr>
        <sz val="10"/>
        <color theme="1"/>
        <rFont val="ＭＳ Ｐ明朝"/>
        <family val="1"/>
        <charset val="128"/>
      </rPr>
      <t>（⑪×給付率）</t>
    </r>
    <rPh sb="7" eb="10">
      <t>キュウフリツ</t>
    </rPh>
    <phoneticPr fontId="6"/>
  </si>
  <si>
    <t>加入期間
（規程適用後）</t>
    <rPh sb="6" eb="11">
      <t>キテイテキヨウゴ</t>
    </rPh>
    <phoneticPr fontId="5"/>
  </si>
  <si>
    <t>定年（25年以上）</t>
  </si>
  <si>
    <t>定年延長前の休職期間</t>
    <rPh sb="0" eb="4">
      <t>テイネンエンチョウ</t>
    </rPh>
    <rPh sb="4" eb="5">
      <t>マエ</t>
    </rPh>
    <rPh sb="6" eb="8">
      <t>キュウショク</t>
    </rPh>
    <rPh sb="8" eb="10">
      <t>キカン</t>
    </rPh>
    <phoneticPr fontId="5"/>
  </si>
  <si>
    <t>自己都合</t>
  </si>
  <si>
    <t>整理</t>
  </si>
  <si>
    <t>業務上傷病</t>
  </si>
  <si>
    <t>業務上死亡</t>
  </si>
  <si>
    <t>業務外傷病</t>
  </si>
  <si>
    <t>業務外死亡（15年未満）</t>
  </si>
  <si>
    <t>定年(15年以上25年未満）</t>
  </si>
  <si>
    <t>勧奨（15年以上25年未満）</t>
  </si>
  <si>
    <t>業務外死亡（15年以上25年未満）</t>
  </si>
  <si>
    <t>勧奨（25年以上）</t>
  </si>
  <si>
    <t>業務外死亡（25年以上）</t>
  </si>
  <si>
    <t>退職事由</t>
    <rPh sb="0" eb="4">
      <t>タイショクジユウ</t>
    </rPh>
    <phoneticPr fontId="5"/>
  </si>
  <si>
    <t>期間①</t>
    <rPh sb="0" eb="2">
      <t>キカン</t>
    </rPh>
    <phoneticPr fontId="5"/>
  </si>
  <si>
    <t>期間②</t>
    <rPh sb="0" eb="2">
      <t>キカン</t>
    </rPh>
    <phoneticPr fontId="5"/>
  </si>
  <si>
    <t>期間③</t>
    <rPh sb="0" eb="2">
      <t>キカン</t>
    </rPh>
    <phoneticPr fontId="5"/>
  </si>
  <si>
    <t>○</t>
    <phoneticPr fontId="5"/>
  </si>
  <si>
    <t>規程等の適用</t>
  </si>
  <si>
    <t>加入期間
（規程適用後）</t>
  </si>
  <si>
    <t>給付率
（割合×加入期間）</t>
  </si>
  <si>
    <t>給付額
（⑪×給付率）</t>
  </si>
  <si>
    <t>規程</t>
  </si>
  <si>
    <t>附則</t>
  </si>
  <si>
    <t>(1)</t>
  </si>
  <si>
    <t>22条4項</t>
  </si>
  <si>
    <t>2項</t>
  </si>
  <si>
    <t>(2)</t>
  </si>
  <si>
    <t>24条1項</t>
  </si>
  <si>
    <t>3項</t>
  </si>
  <si>
    <t>(3)</t>
  </si>
  <si>
    <t>24条2項</t>
  </si>
  <si>
    <t>4項</t>
  </si>
  <si>
    <t>(4)</t>
  </si>
  <si>
    <t>25条</t>
  </si>
  <si>
    <t>5項</t>
  </si>
  <si>
    <t>(5)</t>
  </si>
  <si>
    <t>26条1項</t>
  </si>
  <si>
    <t>6又は7項</t>
  </si>
  <si>
    <t>(6)</t>
  </si>
  <si>
    <t>26条2項</t>
  </si>
  <si>
    <t>小　計…⑭</t>
  </si>
  <si>
    <t>附則
適用</t>
  </si>
  <si>
    <t>附則2項…⑮</t>
  </si>
  <si>
    <t>附則6又は7項…⑯</t>
  </si>
  <si>
    <t>給付率・給付額合計（⑭×⑮×⑯）…⑰</t>
  </si>
  <si>
    <t>２　規程第26条第2項による算出</t>
    <rPh sb="2" eb="5">
      <t>キテイダイ</t>
    </rPh>
    <rPh sb="7" eb="8">
      <t>ジョウ</t>
    </rPh>
    <rPh sb="8" eb="9">
      <t>ダイ</t>
    </rPh>
    <rPh sb="10" eb="11">
      <t>コウ</t>
    </rPh>
    <rPh sb="14" eb="16">
      <t>サンシュツ</t>
    </rPh>
    <phoneticPr fontId="5"/>
  </si>
  <si>
    <t>１　規程第26条第1項による算出</t>
    <rPh sb="2" eb="5">
      <t>キテイダイ</t>
    </rPh>
    <rPh sb="7" eb="8">
      <t>ジョウ</t>
    </rPh>
    <rPh sb="8" eb="9">
      <t>ダイ</t>
    </rPh>
    <rPh sb="10" eb="11">
      <t>コウ</t>
    </rPh>
    <rPh sb="14" eb="16">
      <t>サンシュツ</t>
    </rPh>
    <phoneticPr fontId="5"/>
  </si>
  <si>
    <t>○</t>
  </si>
  <si>
    <t>比較結果</t>
    <rPh sb="0" eb="4">
      <t>ヒカクケッカ</t>
    </rPh>
    <phoneticPr fontId="5"/>
  </si>
  <si>
    <t>規程26条2項関連（整理退職、業務上傷病退職、業務上死亡退職における、規程26条1項算出額と同2項算出額の比較</t>
    <rPh sb="0" eb="2">
      <t>キテイ</t>
    </rPh>
    <rPh sb="4" eb="5">
      <t>ジョウ</t>
    </rPh>
    <rPh sb="6" eb="7">
      <t>コウ</t>
    </rPh>
    <rPh sb="7" eb="9">
      <t>カンレン</t>
    </rPh>
    <rPh sb="10" eb="14">
      <t>セイリタイショク</t>
    </rPh>
    <rPh sb="15" eb="18">
      <t>ギョウムジョウ</t>
    </rPh>
    <rPh sb="18" eb="20">
      <t>ショウビョウ</t>
    </rPh>
    <rPh sb="20" eb="22">
      <t>タイショク</t>
    </rPh>
    <rPh sb="23" eb="26">
      <t>ギョウムジョウ</t>
    </rPh>
    <rPh sb="26" eb="28">
      <t>シボウ</t>
    </rPh>
    <rPh sb="28" eb="30">
      <t>タイショク</t>
    </rPh>
    <rPh sb="35" eb="37">
      <t>キテイ</t>
    </rPh>
    <rPh sb="39" eb="40">
      <t>ジョウ</t>
    </rPh>
    <rPh sb="41" eb="42">
      <t>コウ</t>
    </rPh>
    <rPh sb="42" eb="44">
      <t>サンシュツ</t>
    </rPh>
    <rPh sb="44" eb="45">
      <t>ガク</t>
    </rPh>
    <rPh sb="46" eb="47">
      <t>ドウ</t>
    </rPh>
    <rPh sb="48" eb="49">
      <t>コウ</t>
    </rPh>
    <rPh sb="49" eb="51">
      <t>サンシュツ</t>
    </rPh>
    <rPh sb="51" eb="52">
      <t>ガク</t>
    </rPh>
    <rPh sb="53" eb="55">
      <t>ヒカク</t>
    </rPh>
    <phoneticPr fontId="5"/>
  </si>
  <si>
    <r>
      <t xml:space="preserve">給付額
</t>
    </r>
    <r>
      <rPr>
        <sz val="10"/>
        <color rgb="FFFF0000"/>
        <rFont val="ＭＳ Ｐ明朝"/>
        <family val="1"/>
        <charset val="128"/>
      </rPr>
      <t>（⑪×給付率）</t>
    </r>
    <rPh sb="7" eb="10">
      <t>キュウフリツ</t>
    </rPh>
    <phoneticPr fontId="6"/>
  </si>
  <si>
    <t>合計</t>
    <rPh sb="0" eb="2">
      <t>ゴウケイ</t>
    </rPh>
    <phoneticPr fontId="5"/>
  </si>
  <si>
    <t>⑨実加入期間（⑦－⑧）</t>
    <phoneticPr fontId="5"/>
  </si>
  <si>
    <t>備考</t>
    <rPh sb="0" eb="2">
      <t>ビコウ</t>
    </rPh>
    <phoneticPr fontId="5"/>
  </si>
  <si>
    <t>旧定年までの給付額</t>
    <rPh sb="0" eb="3">
      <t>キュウテイネン</t>
    </rPh>
    <rPh sb="6" eb="9">
      <t>キュウフガク</t>
    </rPh>
    <phoneticPr fontId="5"/>
  </si>
  <si>
    <t>旧定年までの給付率</t>
    <rPh sb="0" eb="3">
      <t>キュウテイネン</t>
    </rPh>
    <rPh sb="6" eb="9">
      <t>キュウフリツ</t>
    </rPh>
    <phoneticPr fontId="5"/>
  </si>
  <si>
    <t>旧定年～退職までの給付率</t>
    <rPh sb="0" eb="3">
      <t>キュウテイネン</t>
    </rPh>
    <rPh sb="4" eb="6">
      <t>タイショク</t>
    </rPh>
    <rPh sb="9" eb="12">
      <t>キュウフリツ</t>
    </rPh>
    <phoneticPr fontId="5"/>
  </si>
  <si>
    <t>旧定年～退職までの給付額</t>
    <rPh sb="0" eb="3">
      <t>キュウテイネン</t>
    </rPh>
    <rPh sb="4" eb="6">
      <t>タイショク</t>
    </rPh>
    <rPh sb="9" eb="12">
      <t>キュウフガク</t>
    </rPh>
    <phoneticPr fontId="5"/>
  </si>
  <si>
    <t>（様式設定情報）</t>
    <rPh sb="1" eb="3">
      <t>ヨウシキ</t>
    </rPh>
    <rPh sb="3" eb="5">
      <t>セッテイ</t>
    </rPh>
    <rPh sb="5" eb="7">
      <t>ジョウホウ</t>
    </rPh>
    <phoneticPr fontId="5"/>
  </si>
  <si>
    <t>自己都合　※無給付扱い</t>
    <rPh sb="0" eb="4">
      <t>ジコツゴウ</t>
    </rPh>
    <rPh sb="6" eb="9">
      <t>ムキュウフ</t>
    </rPh>
    <rPh sb="9" eb="10">
      <t>アツカ</t>
    </rPh>
    <phoneticPr fontId="5"/>
  </si>
  <si>
    <t>業務外傷病　※無給付扱い</t>
    <rPh sb="0" eb="2">
      <t>ギョウム</t>
    </rPh>
    <rPh sb="2" eb="3">
      <t>ガイ</t>
    </rPh>
    <rPh sb="3" eb="5">
      <t>ショウビョウ</t>
    </rPh>
    <rPh sb="7" eb="10">
      <t>ムキュウフ</t>
    </rPh>
    <rPh sb="10" eb="11">
      <t>アツカ</t>
    </rPh>
    <phoneticPr fontId="5"/>
  </si>
  <si>
    <t>業務外死亡（15年未満）※無給付扱い</t>
    <rPh sb="13" eb="16">
      <t>ムキュウフ</t>
    </rPh>
    <rPh sb="16" eb="17">
      <t>アツカ</t>
    </rPh>
    <phoneticPr fontId="5"/>
  </si>
  <si>
    <t>勧奨（15年未満）※自己都合退職扱い</t>
    <rPh sb="0" eb="2">
      <t>カンショウ</t>
    </rPh>
    <rPh sb="5" eb="8">
      <t>ネンミマン</t>
    </rPh>
    <rPh sb="10" eb="12">
      <t>ジコ</t>
    </rPh>
    <rPh sb="12" eb="14">
      <t>ツゴウ</t>
    </rPh>
    <rPh sb="14" eb="16">
      <t>タイショク</t>
    </rPh>
    <rPh sb="16" eb="17">
      <t>アツカ</t>
    </rPh>
    <phoneticPr fontId="5"/>
  </si>
  <si>
    <t>定年（15年未満）※自己都合退職扱い</t>
    <rPh sb="0" eb="2">
      <t>テイネン</t>
    </rPh>
    <rPh sb="5" eb="8">
      <t>ネンミマン</t>
    </rPh>
    <rPh sb="10" eb="14">
      <t>ジコツゴウ</t>
    </rPh>
    <rPh sb="14" eb="16">
      <t>タイショク</t>
    </rPh>
    <rPh sb="16" eb="17">
      <t>アツカ</t>
    </rPh>
    <phoneticPr fontId="5"/>
  </si>
  <si>
    <t>定年（15年未満）※無給付扱い</t>
    <rPh sb="0" eb="2">
      <t>テイネン</t>
    </rPh>
    <rPh sb="5" eb="8">
      <t>ネンミマン</t>
    </rPh>
    <rPh sb="10" eb="13">
      <t>ムキュウフ</t>
    </rPh>
    <rPh sb="13" eb="14">
      <t>アツカ</t>
    </rPh>
    <phoneticPr fontId="5"/>
  </si>
  <si>
    <t>勧奨（15年未満）※無給付扱い</t>
    <rPh sb="0" eb="2">
      <t>カンショウ</t>
    </rPh>
    <rPh sb="5" eb="8">
      <t>ネンミマン</t>
    </rPh>
    <rPh sb="10" eb="14">
      <t>ムキュウフアツカ</t>
    </rPh>
    <phoneticPr fontId="5"/>
  </si>
  <si>
    <r>
      <rPr>
        <sz val="11"/>
        <color theme="1"/>
        <rFont val="ＭＳ Ｐゴシック"/>
        <family val="3"/>
        <charset val="128"/>
      </rPr>
      <t>長野県社会福祉団体職員退職手当積立基金</t>
    </r>
    <r>
      <rPr>
        <sz val="16"/>
        <color theme="1"/>
        <rFont val="ＭＳ Ｐゴシック"/>
        <family val="3"/>
        <charset val="128"/>
      </rPr>
      <t xml:space="preserve">
　</t>
    </r>
    <r>
      <rPr>
        <sz val="20"/>
        <color theme="1"/>
        <rFont val="ＭＳ Ｐゴシック"/>
        <family val="3"/>
        <charset val="128"/>
      </rPr>
      <t>給 付 請 求 書</t>
    </r>
    <rPh sb="0" eb="3">
      <t>ナガノケン</t>
    </rPh>
    <rPh sb="3" eb="11">
      <t>シャカイフクシダンタイショクイン</t>
    </rPh>
    <rPh sb="11" eb="15">
      <t>タイショクテアテ</t>
    </rPh>
    <rPh sb="15" eb="19">
      <t>ツミタテキキン</t>
    </rPh>
    <rPh sb="21" eb="22">
      <t>キュウ</t>
    </rPh>
    <rPh sb="23" eb="24">
      <t>ツキ</t>
    </rPh>
    <rPh sb="25" eb="26">
      <t>ショウ</t>
    </rPh>
    <rPh sb="27" eb="28">
      <t>モトム</t>
    </rPh>
    <rPh sb="29" eb="30">
      <t>ショ</t>
    </rPh>
    <phoneticPr fontId="5"/>
  </si>
  <si>
    <t>懲戒免職</t>
    <rPh sb="0" eb="4">
      <t>チョウカイメンショク</t>
    </rPh>
    <phoneticPr fontId="5"/>
  </si>
  <si>
    <t>30条</t>
    <rPh sb="2" eb="3">
      <t>ジョウ</t>
    </rPh>
    <phoneticPr fontId="5"/>
  </si>
  <si>
    <t>加入期間・退職事由</t>
    <rPh sb="0" eb="2">
      <t>カニュウ</t>
    </rPh>
    <rPh sb="2" eb="4">
      <t>キカン</t>
    </rPh>
    <rPh sb="5" eb="9">
      <t>タイショクジユウ</t>
    </rPh>
    <phoneticPr fontId="5"/>
  </si>
  <si>
    <t>退職事由テーブル</t>
    <rPh sb="0" eb="4">
      <t>タイショクジユウ</t>
    </rPh>
    <phoneticPr fontId="5"/>
  </si>
  <si>
    <t>制度退会方式</t>
    <rPh sb="0" eb="6">
      <t>セイドタイカイホウシキ</t>
    </rPh>
    <phoneticPr fontId="5"/>
  </si>
  <si>
    <t>従前方式</t>
    <rPh sb="0" eb="4">
      <t>ジュウゼンホウシキ</t>
    </rPh>
    <phoneticPr fontId="5"/>
  </si>
  <si>
    <t>ピーク時特例方式</t>
    <rPh sb="3" eb="8">
      <t>ジトクレイホウシキ</t>
    </rPh>
    <phoneticPr fontId="5"/>
  </si>
  <si>
    <t>給付額計算方式</t>
    <rPh sb="0" eb="7">
      <t>キュウフガクケイサンホウシキ</t>
    </rPh>
    <phoneticPr fontId="5"/>
  </si>
  <si>
    <t>取扱要領6(1)</t>
    <rPh sb="0" eb="2">
      <t>トリアツカイ</t>
    </rPh>
    <rPh sb="2" eb="4">
      <t>ヨウリョウ</t>
    </rPh>
    <phoneticPr fontId="5"/>
  </si>
  <si>
    <t>取扱要領6(2)</t>
    <rPh sb="0" eb="2">
      <t>トリアツカイ</t>
    </rPh>
    <rPh sb="2" eb="4">
      <t>ヨウリョウ</t>
    </rPh>
    <phoneticPr fontId="5"/>
  </si>
  <si>
    <t>給付額
計算方式</t>
    <rPh sb="0" eb="3">
      <t>キュウフガク</t>
    </rPh>
    <rPh sb="4" eb="8">
      <t>ケイサンホウシキ</t>
    </rPh>
    <phoneticPr fontId="5"/>
  </si>
  <si>
    <t>業務外傷病　※定年退職扱い</t>
    <rPh sb="7" eb="9">
      <t>テイネン</t>
    </rPh>
    <rPh sb="9" eb="12">
      <t>タイショクアツカ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</si>
</sst>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]ggge&quot;年&quot;m&quot;月&quot;d&quot;日&quot;;@" x16r2:formatCode16="[$-ja-JP-x-gannen]ggge&quot;年&quot;m&quot;月&quot;d&quot;日&quot;;@"/>
    <numFmt numFmtId="177" formatCode="[$-F800]dddd\,\ mmmm\ dd\,\ yyyy"/>
    <numFmt numFmtId="178" formatCode="#,##0&quot;円&quot;"/>
    <numFmt numFmtId="179" formatCode="General&quot;年&quot;"/>
    <numFmt numFmtId="180" formatCode="0_);[Red]\(0\)"/>
    <numFmt numFmtId="181" formatCode="0.000000000_ "/>
    <numFmt numFmtId="182" formatCode="0.000000000"/>
    <numFmt numFmtId="183" formatCode="[$-411]ggge&quot;年&quot;m&quot;月&quot;d&quot;日&quot;;@"/>
    <numFmt numFmtId="184" formatCode="General&quot;ケ&quot;&quot;月&quot;"/>
  </numFmts>
  <fonts count="7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rgb="FFFF0000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9"/>
      <color theme="1"/>
      <name val="ＭＳ Ｐゴシック"/>
      <family val="3"/>
      <charset val="128"/>
    </font>
    <font>
      <sz val="6"/>
      <color theme="0"/>
      <name val="HG創英角ｺﾞｼｯｸUB"/>
      <family val="3"/>
      <charset val="128"/>
    </font>
    <font>
      <sz val="9"/>
      <color theme="1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C00000"/>
      <name val="HGP創英角ｺﾞｼｯｸUB"/>
      <family val="3"/>
      <charset val="128"/>
    </font>
    <font>
      <sz val="14"/>
      <color rgb="FFC00000"/>
      <name val="HG創英角ｺﾞｼｯｸUB"/>
      <family val="3"/>
      <charset val="128"/>
    </font>
    <font>
      <sz val="10"/>
      <color rgb="FFC00000"/>
      <name val="HG創英角ｺﾞｼｯｸUB"/>
      <family val="3"/>
      <charset val="128"/>
    </font>
    <font>
      <sz val="12"/>
      <color rgb="FFC00000"/>
      <name val="HG創英角ｺﾞｼｯｸUB"/>
      <family val="3"/>
      <charset val="128"/>
    </font>
    <font>
      <sz val="14"/>
      <color theme="1"/>
      <name val="Yu Gothic"/>
      <family val="2"/>
      <scheme val="minor"/>
    </font>
    <font>
      <sz val="12"/>
      <color rgb="FF585858"/>
      <name val="Arial"/>
      <family val="2"/>
    </font>
    <font>
      <sz val="8"/>
      <color rgb="FFFF0000"/>
      <name val="HGP創英角ｺﾞｼｯｸUB"/>
      <family val="3"/>
      <charset val="128"/>
    </font>
    <font>
      <sz val="8"/>
      <color rgb="FFFF0000"/>
      <name val="Yu Gothic"/>
      <family val="2"/>
      <scheme val="minor"/>
    </font>
    <font>
      <sz val="8"/>
      <color theme="1"/>
      <name val="Yu Gothic"/>
      <family val="2"/>
      <scheme val="minor"/>
    </font>
    <font>
      <sz val="6"/>
      <color rgb="FFC00000"/>
      <name val="HGP創英角ｺﾞｼｯｸUB"/>
      <family val="3"/>
      <charset val="128"/>
    </font>
    <font>
      <sz val="8"/>
      <color rgb="FFC00000"/>
      <name val="HG創英角ｺﾞｼｯｸUB"/>
      <family val="3"/>
      <charset val="128"/>
    </font>
    <font>
      <sz val="6"/>
      <color rgb="FFC00000"/>
      <name val="HG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8"/>
      <color rgb="FF585858"/>
      <name val="Arial"/>
      <family val="2"/>
    </font>
    <font>
      <sz val="9"/>
      <color rgb="FF585858"/>
      <name val="Arial"/>
      <family val="2"/>
    </font>
    <font>
      <sz val="8"/>
      <color theme="1"/>
      <name val="Yu Gothic"/>
      <family val="3"/>
      <charset val="128"/>
      <scheme val="minor"/>
    </font>
    <font>
      <sz val="8.5"/>
      <color theme="1"/>
      <name val="ＭＳ Ｐゴシック"/>
      <family val="3"/>
      <charset val="128"/>
    </font>
    <font>
      <sz val="10"/>
      <color rgb="FFC00000"/>
      <name val="HGP創英角ｺﾞｼｯｸUB"/>
      <family val="3"/>
      <charset val="128"/>
    </font>
    <font>
      <sz val="6"/>
      <color theme="1"/>
      <name val="Yu Gothic"/>
      <family val="2"/>
      <scheme val="minor"/>
    </font>
    <font>
      <sz val="11"/>
      <color theme="0"/>
      <name val="Yu Gothic"/>
      <family val="2"/>
      <scheme val="minor"/>
    </font>
    <font>
      <sz val="8"/>
      <color theme="0"/>
      <name val="Yu Gothic"/>
      <family val="2"/>
      <scheme val="minor"/>
    </font>
    <font>
      <sz val="10"/>
      <color theme="0"/>
      <name val="ＭＳ 明朝"/>
      <family val="1"/>
      <charset val="128"/>
    </font>
    <font>
      <sz val="6"/>
      <color theme="0"/>
      <name val="HGP創英角ｺﾞｼｯｸUB"/>
      <family val="3"/>
      <charset val="128"/>
    </font>
    <font>
      <sz val="8"/>
      <color theme="0"/>
      <name val="HG創英角ｺﾞｼｯｸUB"/>
      <family val="3"/>
      <charset val="128"/>
    </font>
    <font>
      <sz val="10"/>
      <color theme="0"/>
      <name val="ＭＳ Ｐ明朝"/>
      <family val="1"/>
      <charset val="128"/>
    </font>
    <font>
      <sz val="11"/>
      <color rgb="FFFF0000"/>
      <name val="Yu Gothic"/>
      <family val="2"/>
      <scheme val="minor"/>
    </font>
    <font>
      <sz val="9"/>
      <color rgb="FFFF0000"/>
      <name val="Yu Gothic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8"/>
      <color rgb="FFC00000"/>
      <name val="HGS創英角ｺﾞｼｯｸUB"/>
      <family val="3"/>
      <charset val="128"/>
    </font>
    <font>
      <sz val="8"/>
      <color theme="1"/>
      <name val="HG創英角ｺﾞｼｯｸUB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4"/>
      <color rgb="FFFF0000"/>
      <name val="HGS創英角ｺﾞｼｯｸUB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Yu Gothic"/>
      <family val="2"/>
      <scheme val="minor"/>
    </font>
    <font>
      <sz val="6"/>
      <color rgb="FFFF0000"/>
      <name val="Yu Gothic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HG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rgb="FFC00000"/>
      <name val="Yu Gothic"/>
      <family val="3"/>
      <charset val="128"/>
      <scheme val="minor"/>
    </font>
    <font>
      <sz val="10"/>
      <color rgb="FFC00000"/>
      <name val="ＭＳ Ｐ明朝"/>
      <family val="1"/>
      <charset val="128"/>
    </font>
    <font>
      <sz val="8"/>
      <color rgb="FFC00000"/>
      <name val="Yu Gothic"/>
      <family val="3"/>
      <charset val="128"/>
      <scheme val="minor"/>
    </font>
    <font>
      <sz val="11"/>
      <color rgb="FFC0000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6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1">
    <xf numFmtId="0" fontId="0" fillId="0" borderId="0" xfId="0"/>
    <xf numFmtId="0" fontId="0" fillId="0" borderId="0" xfId="0" applyAlignment="1">
      <alignment horizontal="right"/>
    </xf>
    <xf numFmtId="177" fontId="0" fillId="0" borderId="0" xfId="0" applyNumberFormat="1"/>
    <xf numFmtId="0" fontId="8" fillId="0" borderId="0" xfId="0" applyFont="1"/>
    <xf numFmtId="0" fontId="0" fillId="0" borderId="17" xfId="0" applyBorder="1"/>
    <xf numFmtId="0" fontId="3" fillId="0" borderId="0" xfId="0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76" fontId="11" fillId="0" borderId="0" xfId="0" applyNumberFormat="1" applyFont="1" applyAlignment="1">
      <alignment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0" borderId="14" xfId="0" applyBorder="1"/>
    <xf numFmtId="0" fontId="2" fillId="0" borderId="40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8" fontId="16" fillId="0" borderId="14" xfId="1" applyFont="1" applyBorder="1" applyAlignment="1">
      <alignment vertical="center" wrapText="1"/>
    </xf>
    <xf numFmtId="180" fontId="0" fillId="0" borderId="0" xfId="0" applyNumberFormat="1"/>
    <xf numFmtId="0" fontId="1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12" fillId="0" borderId="0" xfId="0" applyNumberFormat="1" applyFont="1" applyAlignment="1">
      <alignment vertical="center" wrapText="1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right"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vertical="center"/>
    </xf>
    <xf numFmtId="179" fontId="0" fillId="0" borderId="0" xfId="0" applyNumberFormat="1"/>
    <xf numFmtId="178" fontId="0" fillId="0" borderId="0" xfId="0" applyNumberFormat="1"/>
    <xf numFmtId="0" fontId="9" fillId="0" borderId="0" xfId="0" applyFont="1"/>
    <xf numFmtId="179" fontId="18" fillId="0" borderId="0" xfId="0" applyNumberFormat="1" applyFont="1"/>
    <xf numFmtId="0" fontId="18" fillId="0" borderId="0" xfId="0" applyFont="1"/>
    <xf numFmtId="176" fontId="11" fillId="0" borderId="0" xfId="0" applyNumberFormat="1" applyFont="1"/>
    <xf numFmtId="0" fontId="11" fillId="0" borderId="0" xfId="0" applyFont="1"/>
    <xf numFmtId="0" fontId="0" fillId="0" borderId="0" xfId="0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right"/>
    </xf>
    <xf numFmtId="180" fontId="20" fillId="0" borderId="0" xfId="0" applyNumberFormat="1" applyFont="1" applyAlignment="1">
      <alignment vertical="center" wrapText="1"/>
    </xf>
    <xf numFmtId="0" fontId="7" fillId="0" borderId="33" xfId="0" applyFont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181" fontId="7" fillId="0" borderId="17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79" fontId="7" fillId="0" borderId="2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9" fontId="4" fillId="0" borderId="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79" fontId="4" fillId="0" borderId="2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182" fontId="0" fillId="0" borderId="0" xfId="0" applyNumberFormat="1"/>
    <xf numFmtId="181" fontId="0" fillId="0" borderId="0" xfId="0" applyNumberFormat="1"/>
    <xf numFmtId="57" fontId="0" fillId="0" borderId="0" xfId="0" applyNumberFormat="1"/>
    <xf numFmtId="0" fontId="23" fillId="0" borderId="15" xfId="0" applyFont="1" applyBorder="1" applyProtection="1">
      <protection locked="0"/>
    </xf>
    <xf numFmtId="0" fontId="23" fillId="0" borderId="15" xfId="0" applyFont="1" applyBorder="1" applyAlignment="1" applyProtection="1">
      <alignment horizontal="left"/>
      <protection locked="0"/>
    </xf>
    <xf numFmtId="0" fontId="27" fillId="0" borderId="17" xfId="0" applyFont="1" applyBorder="1"/>
    <xf numFmtId="180" fontId="28" fillId="0" borderId="0" xfId="0" applyNumberFormat="1" applyFont="1"/>
    <xf numFmtId="0" fontId="30" fillId="0" borderId="0" xfId="0" applyFont="1" applyAlignment="1">
      <alignment horizontal="right"/>
    </xf>
    <xf numFmtId="0" fontId="31" fillId="0" borderId="0" xfId="0" applyFont="1"/>
    <xf numFmtId="38" fontId="32" fillId="0" borderId="0" xfId="1" applyFont="1" applyBorder="1" applyAlignment="1">
      <alignment vertical="center" wrapText="1"/>
    </xf>
    <xf numFmtId="180" fontId="34" fillId="0" borderId="0" xfId="0" applyNumberFormat="1" applyFont="1" applyAlignment="1">
      <alignment vertical="center" wrapText="1"/>
    </xf>
    <xf numFmtId="180" fontId="33" fillId="0" borderId="0" xfId="0" applyNumberFormat="1" applyFont="1" applyAlignment="1">
      <alignment vertical="center" wrapText="1"/>
    </xf>
    <xf numFmtId="176" fontId="33" fillId="0" borderId="0" xfId="0" applyNumberFormat="1" applyFont="1" applyAlignment="1">
      <alignment vertical="center" wrapText="1"/>
    </xf>
    <xf numFmtId="0" fontId="35" fillId="0" borderId="16" xfId="0" applyFont="1" applyBorder="1" applyAlignment="1">
      <alignment vertical="center"/>
    </xf>
    <xf numFmtId="0" fontId="35" fillId="0" borderId="16" xfId="0" applyFont="1" applyBorder="1"/>
    <xf numFmtId="178" fontId="35" fillId="0" borderId="16" xfId="1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7" fillId="0" borderId="54" xfId="0" applyFont="1" applyBorder="1" applyAlignment="1">
      <alignment horizontal="right" vertical="center"/>
    </xf>
    <xf numFmtId="176" fontId="36" fillId="0" borderId="0" xfId="0" applyNumberFormat="1" applyFont="1"/>
    <xf numFmtId="183" fontId="37" fillId="0" borderId="0" xfId="0" applyNumberFormat="1" applyFont="1"/>
    <xf numFmtId="0" fontId="13" fillId="0" borderId="31" xfId="0" applyFont="1" applyBorder="1" applyAlignment="1">
      <alignment vertical="center" wrapText="1"/>
    </xf>
    <xf numFmtId="0" fontId="29" fillId="0" borderId="0" xfId="1" applyNumberFormat="1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57" fontId="41" fillId="0" borderId="0" xfId="0" applyNumberFormat="1" applyFont="1"/>
    <xf numFmtId="0" fontId="41" fillId="0" borderId="0" xfId="0" applyFont="1"/>
    <xf numFmtId="0" fontId="13" fillId="0" borderId="20" xfId="0" applyFont="1" applyBorder="1" applyAlignment="1">
      <alignment vertical="center" wrapText="1"/>
    </xf>
    <xf numFmtId="38" fontId="17" fillId="0" borderId="16" xfId="1" applyFont="1" applyBorder="1" applyAlignment="1">
      <alignment horizontal="right" vertical="center" wrapText="1"/>
    </xf>
    <xf numFmtId="0" fontId="17" fillId="0" borderId="59" xfId="0" applyFont="1" applyBorder="1" applyAlignment="1">
      <alignment horizontal="right" vertical="center" shrinkToFit="1"/>
    </xf>
    <xf numFmtId="0" fontId="42" fillId="0" borderId="0" xfId="0" applyFont="1"/>
    <xf numFmtId="0" fontId="44" fillId="0" borderId="0" xfId="0" applyFont="1" applyAlignment="1">
      <alignment horizontal="center" vertical="center" wrapText="1"/>
    </xf>
    <xf numFmtId="0" fontId="43" fillId="0" borderId="0" xfId="0" applyFont="1"/>
    <xf numFmtId="38" fontId="45" fillId="0" borderId="14" xfId="1" applyFont="1" applyBorder="1" applyAlignment="1">
      <alignment vertical="center" wrapText="1"/>
    </xf>
    <xf numFmtId="180" fontId="46" fillId="0" borderId="14" xfId="0" applyNumberFormat="1" applyFont="1" applyBorder="1" applyAlignment="1">
      <alignment vertical="center" wrapText="1"/>
    </xf>
    <xf numFmtId="0" fontId="47" fillId="0" borderId="17" xfId="0" applyFont="1" applyBorder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8" fontId="31" fillId="0" borderId="0" xfId="1" applyFont="1" applyAlignment="1"/>
    <xf numFmtId="0" fontId="30" fillId="0" borderId="0" xfId="0" applyFont="1"/>
    <xf numFmtId="0" fontId="15" fillId="0" borderId="0" xfId="0" applyFont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179" fontId="15" fillId="0" borderId="6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38" fontId="15" fillId="0" borderId="0" xfId="1" applyFont="1" applyFill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/>
    </xf>
    <xf numFmtId="0" fontId="15" fillId="0" borderId="48" xfId="0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shrinkToFit="1"/>
    </xf>
    <xf numFmtId="179" fontId="15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9" xfId="0" applyFont="1" applyBorder="1" applyAlignment="1">
      <alignment horizontal="right" vertical="center"/>
    </xf>
    <xf numFmtId="0" fontId="15" fillId="0" borderId="50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49" fontId="15" fillId="0" borderId="38" xfId="0" applyNumberFormat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9" fontId="15" fillId="0" borderId="5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51" xfId="0" applyFont="1" applyBorder="1" applyAlignment="1">
      <alignment horizontal="right" vertical="center"/>
    </xf>
    <xf numFmtId="0" fontId="15" fillId="0" borderId="52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179" fontId="15" fillId="0" borderId="2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31" fillId="0" borderId="17" xfId="0" applyFont="1" applyBorder="1"/>
    <xf numFmtId="0" fontId="15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38" fontId="51" fillId="0" borderId="0" xfId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184" fontId="0" fillId="2" borderId="6" xfId="0" applyNumberFormat="1" applyFill="1" applyBorder="1"/>
    <xf numFmtId="184" fontId="0" fillId="2" borderId="12" xfId="0" applyNumberFormat="1" applyFill="1" applyBorder="1"/>
    <xf numFmtId="0" fontId="15" fillId="0" borderId="2" xfId="0" applyFont="1" applyBorder="1" applyAlignment="1">
      <alignment horizontal="center" vertical="center" wrapText="1"/>
    </xf>
    <xf numFmtId="179" fontId="15" fillId="0" borderId="2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/>
    <xf numFmtId="0" fontId="15" fillId="0" borderId="54" xfId="0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38" fontId="15" fillId="4" borderId="0" xfId="1" applyFont="1" applyFill="1" applyAlignment="1">
      <alignment vertical="center"/>
    </xf>
    <xf numFmtId="0" fontId="31" fillId="4" borderId="0" xfId="0" applyFont="1" applyFill="1"/>
    <xf numFmtId="38" fontId="52" fillId="0" borderId="0" xfId="0" applyNumberFormat="1" applyFont="1"/>
    <xf numFmtId="0" fontId="52" fillId="0" borderId="0" xfId="0" applyFont="1"/>
    <xf numFmtId="0" fontId="53" fillId="0" borderId="0" xfId="0" applyFont="1"/>
    <xf numFmtId="0" fontId="50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shrinkToFit="1"/>
    </xf>
    <xf numFmtId="179" fontId="55" fillId="0" borderId="6" xfId="0" applyNumberFormat="1" applyFont="1" applyBorder="1" applyAlignment="1">
      <alignment horizontal="right" vertical="center" wrapText="1"/>
    </xf>
    <xf numFmtId="0" fontId="55" fillId="0" borderId="2" xfId="0" applyFont="1" applyBorder="1" applyAlignment="1">
      <alignment horizontal="right" vertical="center" wrapText="1"/>
    </xf>
    <xf numFmtId="38" fontId="50" fillId="0" borderId="0" xfId="1" applyFont="1" applyFill="1" applyBorder="1" applyAlignment="1">
      <alignment horizontal="right" vertical="center" wrapText="1"/>
    </xf>
    <xf numFmtId="0" fontId="50" fillId="0" borderId="47" xfId="0" applyFont="1" applyBorder="1" applyAlignment="1">
      <alignment horizontal="right" vertical="center"/>
    </xf>
    <xf numFmtId="0" fontId="50" fillId="0" borderId="48" xfId="0" applyFont="1" applyBorder="1" applyAlignment="1">
      <alignment vertical="center"/>
    </xf>
    <xf numFmtId="49" fontId="50" fillId="0" borderId="3" xfId="0" applyNumberFormat="1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shrinkToFit="1"/>
    </xf>
    <xf numFmtId="179" fontId="55" fillId="0" borderId="3" xfId="0" applyNumberFormat="1" applyFont="1" applyBorder="1" applyAlignment="1">
      <alignment horizontal="right" vertical="center" wrapText="1"/>
    </xf>
    <xf numFmtId="0" fontId="55" fillId="0" borderId="3" xfId="0" applyFont="1" applyBorder="1" applyAlignment="1">
      <alignment horizontal="right" vertical="center" wrapText="1"/>
    </xf>
    <xf numFmtId="0" fontId="50" fillId="0" borderId="49" xfId="0" applyFont="1" applyBorder="1" applyAlignment="1">
      <alignment horizontal="right" vertical="center"/>
    </xf>
    <xf numFmtId="0" fontId="50" fillId="0" borderId="50" xfId="0" applyFont="1" applyBorder="1" applyAlignment="1">
      <alignment vertical="center"/>
    </xf>
    <xf numFmtId="0" fontId="55" fillId="0" borderId="3" xfId="0" applyFont="1" applyBorder="1" applyAlignment="1">
      <alignment horizontal="center" vertical="center" wrapText="1"/>
    </xf>
    <xf numFmtId="49" fontId="50" fillId="0" borderId="38" xfId="0" applyNumberFormat="1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 wrapText="1"/>
    </xf>
    <xf numFmtId="49" fontId="50" fillId="0" borderId="4" xfId="0" applyNumberFormat="1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179" fontId="55" fillId="0" borderId="5" xfId="0" applyNumberFormat="1" applyFont="1" applyBorder="1" applyAlignment="1">
      <alignment horizontal="right" vertical="center" wrapText="1"/>
    </xf>
    <xf numFmtId="0" fontId="55" fillId="0" borderId="4" xfId="0" applyFont="1" applyBorder="1" applyAlignment="1">
      <alignment horizontal="right" vertical="center" wrapText="1"/>
    </xf>
    <xf numFmtId="0" fontId="50" fillId="0" borderId="51" xfId="0" applyFont="1" applyBorder="1" applyAlignment="1">
      <alignment horizontal="right" vertical="center"/>
    </xf>
    <xf numFmtId="0" fontId="50" fillId="0" borderId="52" xfId="0" applyFont="1" applyBorder="1" applyAlignment="1">
      <alignment vertical="center"/>
    </xf>
    <xf numFmtId="179" fontId="50" fillId="0" borderId="21" xfId="0" applyNumberFormat="1" applyFont="1" applyBorder="1" applyAlignment="1">
      <alignment vertical="center" wrapText="1"/>
    </xf>
    <xf numFmtId="0" fontId="50" fillId="0" borderId="1" xfId="0" applyFont="1" applyBorder="1" applyAlignment="1">
      <alignment horizontal="right" vertical="center" wrapText="1"/>
    </xf>
    <xf numFmtId="38" fontId="30" fillId="0" borderId="0" xfId="1" applyFont="1" applyAlignment="1"/>
    <xf numFmtId="0" fontId="50" fillId="0" borderId="2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50" fillId="0" borderId="17" xfId="0" applyFont="1" applyBorder="1" applyAlignment="1">
      <alignment vertical="center" wrapText="1"/>
    </xf>
    <xf numFmtId="0" fontId="48" fillId="0" borderId="17" xfId="0" applyFont="1" applyBorder="1"/>
    <xf numFmtId="0" fontId="55" fillId="0" borderId="17" xfId="0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0" fillId="0" borderId="11" xfId="0" applyFont="1" applyBorder="1" applyAlignment="1">
      <alignment vertical="center" wrapText="1"/>
    </xf>
    <xf numFmtId="0" fontId="50" fillId="0" borderId="18" xfId="0" applyFont="1" applyBorder="1" applyAlignment="1">
      <alignment vertical="center" wrapText="1"/>
    </xf>
    <xf numFmtId="0" fontId="50" fillId="0" borderId="19" xfId="0" applyFont="1" applyBorder="1" applyAlignment="1">
      <alignment vertical="center" wrapText="1"/>
    </xf>
    <xf numFmtId="0" fontId="55" fillId="0" borderId="12" xfId="0" applyFont="1" applyBorder="1" applyAlignment="1">
      <alignment vertical="center"/>
    </xf>
    <xf numFmtId="0" fontId="56" fillId="0" borderId="12" xfId="0" applyFont="1" applyBorder="1" applyAlignment="1">
      <alignment vertical="center"/>
    </xf>
    <xf numFmtId="38" fontId="57" fillId="0" borderId="0" xfId="1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shrinkToFit="1"/>
    </xf>
    <xf numFmtId="179" fontId="58" fillId="0" borderId="2" xfId="0" applyNumberFormat="1" applyFont="1" applyBorder="1" applyAlignment="1">
      <alignment horizontal="right" vertical="center" wrapText="1"/>
    </xf>
    <xf numFmtId="0" fontId="58" fillId="0" borderId="2" xfId="0" applyFont="1" applyBorder="1" applyAlignment="1">
      <alignment horizontal="right" vertical="center" wrapText="1"/>
    </xf>
    <xf numFmtId="0" fontId="58" fillId="0" borderId="47" xfId="0" applyFont="1" applyBorder="1" applyAlignment="1">
      <alignment horizontal="right" vertical="center"/>
    </xf>
    <xf numFmtId="0" fontId="58" fillId="0" borderId="48" xfId="0" applyFont="1" applyBorder="1" applyAlignment="1">
      <alignment vertical="center"/>
    </xf>
    <xf numFmtId="0" fontId="58" fillId="0" borderId="3" xfId="0" applyFont="1" applyBorder="1" applyAlignment="1">
      <alignment horizontal="center" vertical="center" wrapText="1"/>
    </xf>
    <xf numFmtId="179" fontId="58" fillId="0" borderId="3" xfId="0" applyNumberFormat="1" applyFont="1" applyBorder="1" applyAlignment="1">
      <alignment horizontal="right" vertical="center" wrapText="1"/>
    </xf>
    <xf numFmtId="0" fontId="58" fillId="0" borderId="3" xfId="0" applyFont="1" applyBorder="1" applyAlignment="1">
      <alignment horizontal="right" vertical="center" wrapText="1"/>
    </xf>
    <xf numFmtId="0" fontId="58" fillId="0" borderId="49" xfId="0" applyFont="1" applyBorder="1" applyAlignment="1">
      <alignment horizontal="right" vertical="center"/>
    </xf>
    <xf numFmtId="0" fontId="58" fillId="0" borderId="50" xfId="0" applyFont="1" applyBorder="1" applyAlignment="1">
      <alignment vertical="center"/>
    </xf>
    <xf numFmtId="0" fontId="58" fillId="0" borderId="38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right" vertical="center"/>
    </xf>
    <xf numFmtId="0" fontId="58" fillId="0" borderId="52" xfId="0" applyFont="1" applyBorder="1" applyAlignment="1">
      <alignment vertical="center"/>
    </xf>
    <xf numFmtId="0" fontId="58" fillId="0" borderId="24" xfId="0" applyFont="1" applyBorder="1" applyAlignment="1">
      <alignment vertical="center"/>
    </xf>
    <xf numFmtId="0" fontId="58" fillId="0" borderId="25" xfId="0" applyFont="1" applyBorder="1" applyAlignment="1">
      <alignment vertical="center"/>
    </xf>
    <xf numFmtId="179" fontId="58" fillId="0" borderId="21" xfId="0" applyNumberFormat="1" applyFont="1" applyBorder="1" applyAlignment="1">
      <alignment vertical="center" wrapText="1"/>
    </xf>
    <xf numFmtId="0" fontId="58" fillId="0" borderId="1" xfId="0" applyFont="1" applyBorder="1" applyAlignment="1">
      <alignment horizontal="right" vertical="center" wrapText="1"/>
    </xf>
    <xf numFmtId="0" fontId="58" fillId="0" borderId="14" xfId="0" applyFont="1" applyBorder="1" applyAlignment="1">
      <alignment vertical="center" wrapText="1"/>
    </xf>
    <xf numFmtId="0" fontId="58" fillId="0" borderId="5" xfId="0" applyFont="1" applyBorder="1" applyAlignment="1">
      <alignment vertical="center" wrapText="1"/>
    </xf>
    <xf numFmtId="0" fontId="58" fillId="0" borderId="17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18" xfId="0" applyFont="1" applyBorder="1" applyAlignment="1">
      <alignment vertical="center" wrapText="1"/>
    </xf>
    <xf numFmtId="0" fontId="58" fillId="0" borderId="19" xfId="0" applyFont="1" applyBorder="1" applyAlignment="1">
      <alignment vertical="center" wrapText="1"/>
    </xf>
    <xf numFmtId="0" fontId="58" fillId="0" borderId="0" xfId="0" applyFont="1"/>
    <xf numFmtId="0" fontId="58" fillId="0" borderId="54" xfId="0" applyFont="1" applyBorder="1" applyAlignment="1">
      <alignment horizontal="right" vertical="center"/>
    </xf>
    <xf numFmtId="38" fontId="58" fillId="0" borderId="0" xfId="1" applyFont="1" applyAlignment="1">
      <alignment vertical="center"/>
    </xf>
    <xf numFmtId="0" fontId="58" fillId="0" borderId="0" xfId="0" applyFont="1" applyAlignment="1">
      <alignment horizontal="right"/>
    </xf>
    <xf numFmtId="38" fontId="58" fillId="4" borderId="0" xfId="1" applyFont="1" applyFill="1" applyAlignment="1">
      <alignment vertical="center"/>
    </xf>
    <xf numFmtId="0" fontId="50" fillId="0" borderId="0" xfId="0" applyFont="1"/>
    <xf numFmtId="38" fontId="59" fillId="0" borderId="0" xfId="0" applyNumberFormat="1" applyFont="1"/>
    <xf numFmtId="0" fontId="31" fillId="5" borderId="0" xfId="0" applyFont="1" applyFill="1"/>
    <xf numFmtId="180" fontId="29" fillId="0" borderId="0" xfId="1" applyNumberFormat="1" applyFont="1" applyFill="1" applyBorder="1" applyAlignment="1">
      <alignment horizontal="right" vertical="center" wrapText="1"/>
    </xf>
    <xf numFmtId="0" fontId="60" fillId="0" borderId="0" xfId="0" applyFont="1"/>
    <xf numFmtId="38" fontId="61" fillId="0" borderId="0" xfId="1" applyFont="1" applyAlignment="1"/>
    <xf numFmtId="38" fontId="48" fillId="0" borderId="0" xfId="1" applyFont="1" applyAlignment="1"/>
    <xf numFmtId="0" fontId="9" fillId="0" borderId="0" xfId="1" applyNumberFormat="1" applyFont="1" applyAlignment="1"/>
    <xf numFmtId="38" fontId="62" fillId="0" borderId="0" xfId="1" applyFont="1" applyAlignment="1"/>
    <xf numFmtId="1" fontId="15" fillId="0" borderId="2" xfId="0" applyNumberFormat="1" applyFont="1" applyBorder="1" applyAlignment="1">
      <alignment horizontal="right" vertical="center" wrapText="1"/>
    </xf>
    <xf numFmtId="180" fontId="46" fillId="0" borderId="0" xfId="0" applyNumberFormat="1" applyFont="1" applyAlignment="1">
      <alignment vertical="center" wrapText="1"/>
    </xf>
    <xf numFmtId="180" fontId="22" fillId="0" borderId="55" xfId="0" applyNumberFormat="1" applyFont="1" applyBorder="1" applyAlignment="1">
      <alignment horizontal="right" vertical="center" wrapText="1"/>
    </xf>
    <xf numFmtId="178" fontId="26" fillId="0" borderId="12" xfId="0" applyNumberFormat="1" applyFont="1" applyBorder="1" applyAlignment="1" applyProtection="1">
      <alignment vertical="center" wrapText="1"/>
      <protection locked="0"/>
    </xf>
    <xf numFmtId="178" fontId="26" fillId="0" borderId="60" xfId="0" applyNumberFormat="1" applyFont="1" applyBorder="1" applyAlignment="1" applyProtection="1">
      <alignment vertical="center" wrapText="1"/>
      <protection locked="0"/>
    </xf>
    <xf numFmtId="178" fontId="26" fillId="0" borderId="30" xfId="0" applyNumberFormat="1" applyFont="1" applyBorder="1" applyAlignment="1" applyProtection="1">
      <alignment horizontal="right" vertical="center" wrapText="1"/>
      <protection locked="0"/>
    </xf>
    <xf numFmtId="178" fontId="26" fillId="0" borderId="63" xfId="0" applyNumberFormat="1" applyFont="1" applyBorder="1" applyAlignment="1" applyProtection="1">
      <alignment horizontal="right" vertical="center" wrapText="1"/>
      <protection locked="0"/>
    </xf>
    <xf numFmtId="0" fontId="2" fillId="6" borderId="1" xfId="0" applyFont="1" applyFill="1" applyBorder="1" applyAlignment="1">
      <alignment vertical="center" wrapText="1"/>
    </xf>
    <xf numFmtId="178" fontId="30" fillId="0" borderId="0" xfId="0" applyNumberFormat="1" applyFont="1"/>
    <xf numFmtId="0" fontId="63" fillId="0" borderId="0" xfId="0" applyFont="1"/>
    <xf numFmtId="0" fontId="38" fillId="0" borderId="0" xfId="0" applyFont="1" applyAlignment="1">
      <alignment vertical="center" wrapText="1"/>
    </xf>
    <xf numFmtId="0" fontId="58" fillId="0" borderId="12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64" fillId="0" borderId="17" xfId="0" applyFont="1" applyBorder="1" applyAlignment="1">
      <alignment horizontal="center" vertical="center" wrapText="1"/>
    </xf>
    <xf numFmtId="38" fontId="43" fillId="0" borderId="17" xfId="0" applyNumberFormat="1" applyFont="1" applyBorder="1"/>
    <xf numFmtId="178" fontId="26" fillId="0" borderId="64" xfId="0" applyNumberFormat="1" applyFont="1" applyBorder="1" applyAlignment="1" applyProtection="1">
      <alignment vertical="center" wrapText="1"/>
      <protection locked="0"/>
    </xf>
    <xf numFmtId="0" fontId="7" fillId="0" borderId="65" xfId="0" applyFont="1" applyBorder="1" applyAlignment="1">
      <alignment horizontal="right" vertical="center"/>
    </xf>
    <xf numFmtId="0" fontId="7" fillId="0" borderId="66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7" xfId="0" applyFont="1" applyBorder="1" applyAlignment="1">
      <alignment horizontal="right" vertical="center" shrinkToFit="1"/>
    </xf>
    <xf numFmtId="0" fontId="7" fillId="0" borderId="51" xfId="0" applyFont="1" applyBorder="1" applyAlignment="1">
      <alignment horizontal="right" vertical="center" shrinkToFit="1"/>
    </xf>
    <xf numFmtId="0" fontId="4" fillId="3" borderId="0" xfId="0" applyFont="1" applyFill="1"/>
    <xf numFmtId="38" fontId="68" fillId="0" borderId="0" xfId="1" applyFont="1" applyFill="1" applyBorder="1" applyAlignment="1">
      <alignment horizontal="left" vertical="center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8" fillId="3" borderId="12" xfId="0" applyFont="1" applyFill="1" applyBorder="1"/>
    <xf numFmtId="38" fontId="31" fillId="0" borderId="17" xfId="0" applyNumberFormat="1" applyFont="1" applyBorder="1" applyAlignment="1">
      <alignment vertical="center"/>
    </xf>
    <xf numFmtId="38" fontId="31" fillId="0" borderId="0" xfId="0" applyNumberFormat="1" applyFont="1" applyAlignment="1">
      <alignment vertical="center"/>
    </xf>
    <xf numFmtId="0" fontId="69" fillId="0" borderId="1" xfId="0" applyFont="1" applyBorder="1" applyAlignment="1">
      <alignment vertical="center"/>
    </xf>
    <xf numFmtId="0" fontId="69" fillId="0" borderId="2" xfId="0" applyFont="1" applyBorder="1" applyAlignment="1">
      <alignment vertical="center"/>
    </xf>
    <xf numFmtId="179" fontId="69" fillId="2" borderId="2" xfId="0" applyNumberFormat="1" applyFont="1" applyFill="1" applyBorder="1" applyAlignment="1">
      <alignment vertical="center"/>
    </xf>
    <xf numFmtId="0" fontId="69" fillId="0" borderId="4" xfId="0" applyFont="1" applyBorder="1" applyAlignment="1">
      <alignment vertical="center"/>
    </xf>
    <xf numFmtId="179" fontId="69" fillId="2" borderId="4" xfId="0" applyNumberFormat="1" applyFont="1" applyFill="1" applyBorder="1" applyAlignment="1">
      <alignment vertical="center"/>
    </xf>
    <xf numFmtId="179" fontId="69" fillId="0" borderId="4" xfId="0" applyNumberFormat="1" applyFont="1" applyBorder="1" applyAlignment="1">
      <alignment vertical="center"/>
    </xf>
    <xf numFmtId="0" fontId="69" fillId="2" borderId="1" xfId="0" applyFont="1" applyFill="1" applyBorder="1" applyAlignment="1">
      <alignment vertical="center"/>
    </xf>
    <xf numFmtId="0" fontId="69" fillId="2" borderId="2" xfId="0" applyFont="1" applyFill="1" applyBorder="1" applyAlignment="1">
      <alignment vertical="center"/>
    </xf>
    <xf numFmtId="0" fontId="69" fillId="2" borderId="4" xfId="0" applyFont="1" applyFill="1" applyBorder="1" applyAlignment="1">
      <alignment vertical="center"/>
    </xf>
    <xf numFmtId="57" fontId="70" fillId="2" borderId="2" xfId="0" applyNumberFormat="1" applyFont="1" applyFill="1" applyBorder="1" applyAlignment="1">
      <alignment vertical="center"/>
    </xf>
    <xf numFmtId="0" fontId="70" fillId="2" borderId="2" xfId="0" applyFont="1" applyFill="1" applyBorder="1" applyAlignment="1">
      <alignment vertical="center"/>
    </xf>
    <xf numFmtId="57" fontId="70" fillId="2" borderId="3" xfId="0" applyNumberFormat="1" applyFont="1" applyFill="1" applyBorder="1" applyAlignment="1">
      <alignment vertical="center"/>
    </xf>
    <xf numFmtId="0" fontId="70" fillId="2" borderId="22" xfId="0" applyFont="1" applyFill="1" applyBorder="1" applyAlignment="1">
      <alignment horizontal="center" vertical="center"/>
    </xf>
    <xf numFmtId="0" fontId="70" fillId="2" borderId="23" xfId="0" applyFont="1" applyFill="1" applyBorder="1" applyAlignment="1">
      <alignment horizontal="center" vertical="center"/>
    </xf>
    <xf numFmtId="0" fontId="70" fillId="2" borderId="3" xfId="0" applyFont="1" applyFill="1" applyBorder="1" applyAlignment="1">
      <alignment vertical="center"/>
    </xf>
    <xf numFmtId="57" fontId="70" fillId="2" borderId="4" xfId="0" applyNumberFormat="1" applyFont="1" applyFill="1" applyBorder="1" applyAlignment="1">
      <alignment vertical="center"/>
    </xf>
    <xf numFmtId="0" fontId="70" fillId="2" borderId="4" xfId="0" applyFont="1" applyFill="1" applyBorder="1" applyAlignment="1">
      <alignment vertical="center"/>
    </xf>
    <xf numFmtId="0" fontId="71" fillId="5" borderId="3" xfId="0" applyFont="1" applyFill="1" applyBorder="1"/>
    <xf numFmtId="0" fontId="71" fillId="2" borderId="2" xfId="0" applyFont="1" applyFill="1" applyBorder="1"/>
    <xf numFmtId="0" fontId="71" fillId="3" borderId="3" xfId="0" applyFont="1" applyFill="1" applyBorder="1"/>
    <xf numFmtId="0" fontId="71" fillId="2" borderId="3" xfId="0" applyFont="1" applyFill="1" applyBorder="1"/>
    <xf numFmtId="0" fontId="71" fillId="0" borderId="38" xfId="0" applyFont="1" applyBorder="1"/>
    <xf numFmtId="0" fontId="71" fillId="2" borderId="34" xfId="0" applyFont="1" applyFill="1" applyBorder="1"/>
    <xf numFmtId="0" fontId="71" fillId="3" borderId="38" xfId="0" applyFont="1" applyFill="1" applyBorder="1"/>
    <xf numFmtId="0" fontId="71" fillId="2" borderId="38" xfId="0" applyFont="1" applyFill="1" applyBorder="1"/>
    <xf numFmtId="0" fontId="72" fillId="0" borderId="4" xfId="0" applyFont="1" applyBorder="1"/>
    <xf numFmtId="0" fontId="71" fillId="2" borderId="4" xfId="0" applyFont="1" applyFill="1" applyBorder="1"/>
    <xf numFmtId="0" fontId="71" fillId="3" borderId="4" xfId="0" applyFont="1" applyFill="1" applyBorder="1"/>
    <xf numFmtId="0" fontId="71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2" xfId="0" applyBorder="1"/>
    <xf numFmtId="0" fontId="31" fillId="0" borderId="1" xfId="0" applyFont="1" applyBorder="1" applyAlignment="1">
      <alignment horizontal="center" vertical="center" textRotation="255"/>
    </xf>
    <xf numFmtId="0" fontId="38" fillId="0" borderId="1" xfId="0" applyFont="1" applyBorder="1" applyAlignment="1">
      <alignment horizontal="center" vertical="center" textRotation="255"/>
    </xf>
    <xf numFmtId="0" fontId="21" fillId="0" borderId="1" xfId="0" applyFont="1" applyBorder="1" applyAlignment="1">
      <alignment horizontal="center" vertical="center"/>
    </xf>
    <xf numFmtId="179" fontId="39" fillId="0" borderId="58" xfId="0" applyNumberFormat="1" applyFont="1" applyBorder="1" applyAlignment="1">
      <alignment horizontal="center" vertical="center" wrapText="1"/>
    </xf>
    <xf numFmtId="179" fontId="39" fillId="0" borderId="2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179" fontId="39" fillId="0" borderId="15" xfId="0" applyNumberFormat="1" applyFont="1" applyBorder="1" applyAlignment="1">
      <alignment horizontal="right" vertical="center" wrapText="1"/>
    </xf>
    <xf numFmtId="179" fontId="39" fillId="0" borderId="30" xfId="0" applyNumberFormat="1" applyFont="1" applyBorder="1" applyAlignment="1">
      <alignment horizontal="right" vertical="center" wrapText="1"/>
    </xf>
    <xf numFmtId="0" fontId="33" fillId="0" borderId="20" xfId="0" applyFont="1" applyBorder="1" applyAlignment="1" applyProtection="1">
      <alignment horizontal="left" vertical="center" wrapText="1"/>
      <protection locked="0"/>
    </xf>
    <xf numFmtId="0" fontId="33" fillId="0" borderId="16" xfId="0" applyFont="1" applyBorder="1" applyAlignment="1" applyProtection="1">
      <alignment horizontal="left" vertical="center" wrapText="1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58" fillId="0" borderId="34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176" fontId="25" fillId="0" borderId="56" xfId="0" applyNumberFormat="1" applyFont="1" applyBorder="1" applyAlignment="1" applyProtection="1">
      <alignment horizontal="center" vertical="center" wrapText="1"/>
      <protection locked="0"/>
    </xf>
    <xf numFmtId="176" fontId="25" fillId="0" borderId="57" xfId="0" applyNumberFormat="1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176" fontId="25" fillId="0" borderId="15" xfId="0" applyNumberFormat="1" applyFont="1" applyBorder="1" applyAlignment="1" applyProtection="1">
      <alignment horizontal="center" vertical="center" wrapText="1"/>
      <protection locked="0"/>
    </xf>
    <xf numFmtId="176" fontId="25" fillId="0" borderId="30" xfId="0" applyNumberFormat="1" applyFont="1" applyBorder="1" applyAlignment="1" applyProtection="1">
      <alignment horizontal="center" vertical="center" wrapText="1"/>
      <protection locked="0"/>
    </xf>
    <xf numFmtId="176" fontId="25" fillId="0" borderId="0" xfId="0" applyNumberFormat="1" applyFont="1" applyAlignment="1" applyProtection="1">
      <alignment horizontal="center" vertical="center" wrapText="1"/>
      <protection locked="0"/>
    </xf>
    <xf numFmtId="176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176" fontId="25" fillId="0" borderId="36" xfId="0" applyNumberFormat="1" applyFont="1" applyBorder="1" applyAlignment="1" applyProtection="1">
      <alignment horizontal="center" vertical="center" wrapText="1"/>
      <protection locked="0"/>
    </xf>
    <xf numFmtId="176" fontId="25" fillId="0" borderId="37" xfId="0" applyNumberFormat="1" applyFont="1" applyBorder="1" applyAlignment="1" applyProtection="1">
      <alignment horizontal="center" vertical="center" wrapText="1"/>
      <protection locked="0"/>
    </xf>
    <xf numFmtId="178" fontId="4" fillId="0" borderId="7" xfId="0" applyNumberFormat="1" applyFont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178" fontId="4" fillId="0" borderId="7" xfId="1" applyNumberFormat="1" applyFont="1" applyFill="1" applyBorder="1" applyAlignment="1">
      <alignment horizontal="right" vertical="center" wrapText="1"/>
    </xf>
    <xf numFmtId="178" fontId="4" fillId="0" borderId="8" xfId="1" applyNumberFormat="1" applyFont="1" applyFill="1" applyBorder="1" applyAlignment="1">
      <alignment horizontal="right" vertical="center" wrapText="1"/>
    </xf>
    <xf numFmtId="0" fontId="69" fillId="0" borderId="6" xfId="0" applyFont="1" applyBorder="1" applyAlignment="1">
      <alignment horizontal="center" vertical="center"/>
    </xf>
    <xf numFmtId="0" fontId="69" fillId="0" borderId="34" xfId="0" applyFont="1" applyBorder="1" applyAlignment="1">
      <alignment horizontal="center" vertical="center"/>
    </xf>
    <xf numFmtId="0" fontId="69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8" fontId="15" fillId="5" borderId="28" xfId="1" applyNumberFormat="1" applyFont="1" applyFill="1" applyBorder="1" applyAlignment="1">
      <alignment horizontal="right" vertical="center"/>
    </xf>
    <xf numFmtId="178" fontId="15" fillId="5" borderId="29" xfId="1" applyNumberFormat="1" applyFont="1" applyFill="1" applyBorder="1" applyAlignment="1">
      <alignment horizontal="right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right" vertical="center" wrapText="1"/>
    </xf>
    <xf numFmtId="178" fontId="4" fillId="0" borderId="23" xfId="0" applyNumberFormat="1" applyFont="1" applyBorder="1" applyAlignment="1">
      <alignment horizontal="right" vertical="center" wrapText="1"/>
    </xf>
    <xf numFmtId="178" fontId="4" fillId="0" borderId="22" xfId="1" applyNumberFormat="1" applyFont="1" applyFill="1" applyBorder="1" applyAlignment="1">
      <alignment horizontal="right" vertical="center" wrapText="1"/>
    </xf>
    <xf numFmtId="178" fontId="4" fillId="0" borderId="23" xfId="1" applyNumberFormat="1" applyFont="1" applyFill="1" applyBorder="1" applyAlignment="1">
      <alignment horizontal="right" vertical="center" wrapText="1"/>
    </xf>
    <xf numFmtId="0" fontId="58" fillId="0" borderId="35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8" fillId="0" borderId="54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178" fontId="55" fillId="0" borderId="22" xfId="0" applyNumberFormat="1" applyFont="1" applyBorder="1" applyAlignment="1">
      <alignment horizontal="right" vertical="center" wrapText="1"/>
    </xf>
    <xf numFmtId="178" fontId="55" fillId="0" borderId="23" xfId="0" applyNumberFormat="1" applyFont="1" applyBorder="1" applyAlignment="1">
      <alignment horizontal="right" vertical="center" wrapText="1"/>
    </xf>
    <xf numFmtId="178" fontId="58" fillId="0" borderId="24" xfId="0" applyNumberFormat="1" applyFont="1" applyBorder="1" applyAlignment="1">
      <alignment horizontal="right" vertical="center" wrapText="1"/>
    </xf>
    <xf numFmtId="0" fontId="58" fillId="0" borderId="25" xfId="0" applyFont="1" applyBorder="1" applyAlignment="1">
      <alignment horizontal="right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178" fontId="58" fillId="0" borderId="7" xfId="0" applyNumberFormat="1" applyFont="1" applyBorder="1" applyAlignment="1">
      <alignment horizontal="right" vertical="center" wrapText="1"/>
    </xf>
    <xf numFmtId="178" fontId="58" fillId="0" borderId="8" xfId="0" applyNumberFormat="1" applyFont="1" applyBorder="1" applyAlignment="1">
      <alignment horizontal="right" vertical="center" wrapText="1"/>
    </xf>
    <xf numFmtId="178" fontId="58" fillId="0" borderId="22" xfId="0" applyNumberFormat="1" applyFont="1" applyBorder="1" applyAlignment="1">
      <alignment horizontal="right" vertical="center" wrapText="1"/>
    </xf>
    <xf numFmtId="178" fontId="58" fillId="0" borderId="23" xfId="0" applyNumberFormat="1" applyFont="1" applyBorder="1" applyAlignment="1">
      <alignment horizontal="right" vertical="center" wrapText="1"/>
    </xf>
    <xf numFmtId="0" fontId="58" fillId="0" borderId="23" xfId="0" applyFont="1" applyBorder="1" applyAlignment="1">
      <alignment horizontal="right" vertical="center" wrapText="1"/>
    </xf>
    <xf numFmtId="178" fontId="55" fillId="5" borderId="28" xfId="1" applyNumberFormat="1" applyFont="1" applyFill="1" applyBorder="1" applyAlignment="1">
      <alignment horizontal="right" vertical="center"/>
    </xf>
    <xf numFmtId="178" fontId="55" fillId="5" borderId="29" xfId="1" applyNumberFormat="1" applyFont="1" applyFill="1" applyBorder="1" applyAlignment="1">
      <alignment horizontal="right" vertical="center"/>
    </xf>
    <xf numFmtId="178" fontId="55" fillId="0" borderId="22" xfId="1" applyNumberFormat="1" applyFont="1" applyFill="1" applyBorder="1" applyAlignment="1">
      <alignment horizontal="right" vertical="center" wrapText="1"/>
    </xf>
    <xf numFmtId="178" fontId="55" fillId="0" borderId="23" xfId="1" applyNumberFormat="1" applyFont="1" applyFill="1" applyBorder="1" applyAlignment="1">
      <alignment horizontal="right" vertical="center" wrapText="1"/>
    </xf>
    <xf numFmtId="178" fontId="55" fillId="0" borderId="24" xfId="1" applyNumberFormat="1" applyFont="1" applyFill="1" applyBorder="1" applyAlignment="1">
      <alignment horizontal="right" vertical="center" wrapText="1"/>
    </xf>
    <xf numFmtId="178" fontId="55" fillId="0" borderId="25" xfId="1" applyNumberFormat="1" applyFont="1" applyFill="1" applyBorder="1" applyAlignment="1">
      <alignment horizontal="right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178" fontId="55" fillId="0" borderId="20" xfId="1" applyNumberFormat="1" applyFont="1" applyFill="1" applyBorder="1" applyAlignment="1">
      <alignment horizontal="right" vertical="center" wrapText="1"/>
    </xf>
    <xf numFmtId="178" fontId="55" fillId="0" borderId="21" xfId="1" applyNumberFormat="1" applyFont="1" applyFill="1" applyBorder="1" applyAlignment="1">
      <alignment horizontal="right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32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178" fontId="55" fillId="0" borderId="7" xfId="0" applyNumberFormat="1" applyFont="1" applyBorder="1" applyAlignment="1">
      <alignment horizontal="right" vertical="center" wrapText="1"/>
    </xf>
    <xf numFmtId="178" fontId="55" fillId="0" borderId="8" xfId="0" applyNumberFormat="1" applyFont="1" applyBorder="1" applyAlignment="1">
      <alignment horizontal="right" vertical="center" wrapText="1"/>
    </xf>
    <xf numFmtId="178" fontId="55" fillId="0" borderId="7" xfId="1" applyNumberFormat="1" applyFont="1" applyFill="1" applyBorder="1" applyAlignment="1">
      <alignment horizontal="right" vertical="center" wrapText="1"/>
    </xf>
    <xf numFmtId="178" fontId="55" fillId="0" borderId="8" xfId="1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176" fontId="23" fillId="0" borderId="20" xfId="0" applyNumberFormat="1" applyFont="1" applyBorder="1" applyAlignment="1" applyProtection="1">
      <alignment horizontal="right" vertical="center" wrapText="1"/>
      <protection locked="0"/>
    </xf>
    <xf numFmtId="176" fontId="23" fillId="0" borderId="16" xfId="0" applyNumberFormat="1" applyFont="1" applyBorder="1" applyAlignment="1" applyProtection="1">
      <alignment horizontal="right" vertical="center" wrapText="1"/>
      <protection locked="0"/>
    </xf>
    <xf numFmtId="176" fontId="23" fillId="0" borderId="21" xfId="0" applyNumberFormat="1" applyFont="1" applyBorder="1" applyAlignment="1" applyProtection="1">
      <alignment horizontal="right" vertical="center" wrapText="1"/>
      <protection locked="0"/>
    </xf>
    <xf numFmtId="178" fontId="25" fillId="0" borderId="41" xfId="0" applyNumberFormat="1" applyFont="1" applyBorder="1" applyAlignment="1" applyProtection="1">
      <alignment horizontal="right" vertical="center" wrapText="1"/>
      <protection locked="0"/>
    </xf>
    <xf numFmtId="178" fontId="25" fillId="0" borderId="42" xfId="0" applyNumberFormat="1" applyFont="1" applyBorder="1" applyAlignment="1" applyProtection="1">
      <alignment horizontal="right" vertical="center" wrapText="1"/>
      <protection locked="0"/>
    </xf>
    <xf numFmtId="178" fontId="25" fillId="0" borderId="43" xfId="0" applyNumberFormat="1" applyFont="1" applyBorder="1" applyAlignment="1" applyProtection="1">
      <alignment horizontal="right" vertical="center" wrapText="1"/>
      <protection locked="0"/>
    </xf>
    <xf numFmtId="178" fontId="25" fillId="0" borderId="44" xfId="0" applyNumberFormat="1" applyFont="1" applyBorder="1" applyAlignment="1" applyProtection="1">
      <alignment horizontal="right" vertical="center" wrapText="1"/>
      <protection locked="0"/>
    </xf>
    <xf numFmtId="178" fontId="25" fillId="0" borderId="45" xfId="0" applyNumberFormat="1" applyFont="1" applyBorder="1" applyAlignment="1" applyProtection="1">
      <alignment horizontal="right" vertical="center" wrapText="1"/>
      <protection locked="0"/>
    </xf>
    <xf numFmtId="178" fontId="25" fillId="0" borderId="46" xfId="0" applyNumberFormat="1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67" fillId="0" borderId="13" xfId="0" applyFont="1" applyBorder="1" applyAlignment="1">
      <alignment horizontal="center" vertical="center" wrapText="1"/>
    </xf>
    <xf numFmtId="0" fontId="67" fillId="0" borderId="32" xfId="0" applyFont="1" applyBorder="1" applyAlignment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76" fontId="25" fillId="0" borderId="17" xfId="0" applyNumberFormat="1" applyFont="1" applyBorder="1" applyAlignment="1" applyProtection="1">
      <alignment horizontal="center" vertical="center" wrapText="1"/>
      <protection locked="0"/>
    </xf>
    <xf numFmtId="176" fontId="25" fillId="0" borderId="32" xfId="0" applyNumberFormat="1" applyFont="1" applyBorder="1" applyAlignment="1" applyProtection="1">
      <alignment horizontal="center" vertical="center" wrapText="1"/>
      <protection locked="0"/>
    </xf>
    <xf numFmtId="0" fontId="69" fillId="0" borderId="20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6" fontId="23" fillId="0" borderId="0" xfId="0" applyNumberFormat="1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8" fontId="4" fillId="0" borderId="24" xfId="1" applyNumberFormat="1" applyFont="1" applyFill="1" applyBorder="1" applyAlignment="1">
      <alignment horizontal="right" vertical="center" wrapText="1"/>
    </xf>
    <xf numFmtId="178" fontId="4" fillId="0" borderId="25" xfId="1" applyNumberFormat="1" applyFont="1" applyFill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178" fontId="4" fillId="0" borderId="20" xfId="1" applyNumberFormat="1" applyFont="1" applyFill="1" applyBorder="1" applyAlignment="1">
      <alignment horizontal="right" vertical="center" wrapText="1"/>
    </xf>
    <xf numFmtId="178" fontId="4" fillId="0" borderId="21" xfId="1" applyNumberFormat="1" applyFont="1" applyFill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69" fillId="0" borderId="1" xfId="0" applyFont="1" applyBorder="1" applyAlignment="1">
      <alignment horizontal="center" vertical="center"/>
    </xf>
    <xf numFmtId="178" fontId="4" fillId="0" borderId="24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78" fontId="4" fillId="0" borderId="28" xfId="1" applyNumberFormat="1" applyFont="1" applyFill="1" applyBorder="1" applyAlignment="1">
      <alignment horizontal="right" vertical="center"/>
    </xf>
    <xf numFmtId="178" fontId="4" fillId="0" borderId="29" xfId="1" applyNumberFormat="1" applyFont="1" applyFill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0" fillId="2" borderId="7" xfId="0" applyFont="1" applyFill="1" applyBorder="1" applyAlignment="1">
      <alignment horizontal="center" vertical="center"/>
    </xf>
    <xf numFmtId="0" fontId="70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0" fillId="2" borderId="22" xfId="0" applyFont="1" applyFill="1" applyBorder="1" applyAlignment="1">
      <alignment horizontal="center" vertical="center"/>
    </xf>
    <xf numFmtId="0" fontId="70" fillId="2" borderId="23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178" fontId="4" fillId="0" borderId="15" xfId="1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0" fillId="0" borderId="0" xfId="0" applyFont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right"/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left" vertical="center" wrapText="1"/>
    </xf>
    <xf numFmtId="178" fontId="35" fillId="0" borderId="16" xfId="1" applyNumberFormat="1" applyFont="1" applyFill="1" applyBorder="1" applyAlignment="1">
      <alignment horizontal="right" vertical="center"/>
    </xf>
    <xf numFmtId="0" fontId="70" fillId="2" borderId="24" xfId="0" applyFont="1" applyFill="1" applyBorder="1" applyAlignment="1">
      <alignment horizontal="center" vertical="center"/>
    </xf>
    <xf numFmtId="0" fontId="70" fillId="2" borderId="25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right" vertical="center" wrapText="1"/>
    </xf>
    <xf numFmtId="178" fontId="15" fillId="0" borderId="8" xfId="0" applyNumberFormat="1" applyFont="1" applyBorder="1" applyAlignment="1">
      <alignment horizontal="right" vertical="center" wrapText="1"/>
    </xf>
    <xf numFmtId="178" fontId="15" fillId="0" borderId="7" xfId="1" applyNumberFormat="1" applyFont="1" applyFill="1" applyBorder="1" applyAlignment="1">
      <alignment horizontal="right" vertical="center" wrapText="1"/>
    </xf>
    <xf numFmtId="178" fontId="15" fillId="0" borderId="8" xfId="1" applyNumberFormat="1" applyFont="1" applyFill="1" applyBorder="1" applyAlignment="1">
      <alignment horizontal="right" vertical="center" wrapText="1"/>
    </xf>
    <xf numFmtId="178" fontId="15" fillId="0" borderId="22" xfId="0" applyNumberFormat="1" applyFont="1" applyBorder="1" applyAlignment="1">
      <alignment horizontal="right" vertical="center" wrapText="1"/>
    </xf>
    <xf numFmtId="178" fontId="15" fillId="0" borderId="23" xfId="0" applyNumberFormat="1" applyFont="1" applyBorder="1" applyAlignment="1">
      <alignment horizontal="right" vertical="center" wrapText="1"/>
    </xf>
    <xf numFmtId="178" fontId="15" fillId="0" borderId="22" xfId="1" applyNumberFormat="1" applyFont="1" applyFill="1" applyBorder="1" applyAlignment="1">
      <alignment horizontal="right" vertical="center" wrapText="1"/>
    </xf>
    <xf numFmtId="178" fontId="15" fillId="0" borderId="23" xfId="1" applyNumberFormat="1" applyFont="1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 textRotation="255"/>
    </xf>
    <xf numFmtId="178" fontId="15" fillId="0" borderId="24" xfId="1" applyNumberFormat="1" applyFont="1" applyFill="1" applyBorder="1" applyAlignment="1">
      <alignment horizontal="right" vertical="center" wrapText="1"/>
    </xf>
    <xf numFmtId="178" fontId="15" fillId="0" borderId="25" xfId="1" applyNumberFormat="1" applyFont="1" applyFill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178" fontId="15" fillId="0" borderId="20" xfId="1" applyNumberFormat="1" applyFont="1" applyFill="1" applyBorder="1" applyAlignment="1">
      <alignment horizontal="right" vertical="center" wrapText="1"/>
    </xf>
    <xf numFmtId="178" fontId="15" fillId="0" borderId="21" xfId="1" applyNumberFormat="1" applyFont="1" applyFill="1" applyBorder="1" applyAlignment="1">
      <alignment horizontal="right" vertical="center" wrapText="1"/>
    </xf>
    <xf numFmtId="0" fontId="15" fillId="0" borderId="54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178" fontId="15" fillId="0" borderId="24" xfId="0" applyNumberFormat="1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15" fillId="0" borderId="3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border>
        <bottom/>
        <vertical/>
        <horizontal/>
      </border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Horizontal"/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border>
        <bottom/>
        <vertical/>
        <horizontal/>
      </border>
    </dxf>
    <dxf>
      <border>
        <bottom/>
        <vertical/>
        <horizontal/>
      </border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Down"/>
      </fill>
    </dxf>
    <dxf>
      <border>
        <bottom/>
        <vertical/>
        <horizontal/>
      </border>
    </dxf>
    <dxf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Horizontal"/>
      </fill>
    </dxf>
    <dxf>
      <fill>
        <patternFill>
          <bgColor rgb="FFFFFF00"/>
        </patternFill>
      </fill>
    </dxf>
    <dxf>
      <fill>
        <patternFill patternType="lightHorizontal"/>
      </fill>
      <border>
        <top style="thin">
          <color auto="1"/>
        </top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Horizontal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lightHorizontal">
          <fgColor theme="1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</dxfs>
  <tableStyles count="0" defaultTableStyle="TableStyleMedium2" defaultPivotStyle="PivotStyleLight16"/>
  <colors>
    <mruColors>
      <color rgb="FF99FFCC"/>
      <color rgb="FFFF99FF"/>
      <color rgb="FFFFFF66"/>
      <color rgb="FFFFCC00"/>
      <color rgb="FFFF66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4071-259E-466B-A12D-A6A208465C0F}">
  <dimension ref="A1:BG112"/>
  <sheetViews>
    <sheetView tabSelected="1" zoomScale="115" zoomScaleNormal="115" workbookViewId="0">
      <selection activeCell="E58" sqref="E58:F58"/>
    </sheetView>
  </sheetViews>
  <sheetFormatPr defaultRowHeight="18.75"/>
  <cols>
    <col min="1" max="1" width="4.75" customWidth="1"/>
    <col min="2" max="2" width="9" customWidth="1"/>
    <col min="3" max="3" width="8.75" customWidth="1"/>
    <col min="4" max="4" width="10.875" customWidth="1"/>
    <col min="5" max="5" width="11.25" customWidth="1"/>
    <col min="6" max="6" width="13.125" customWidth="1"/>
    <col min="7" max="8" width="11" customWidth="1"/>
    <col min="9" max="9" width="3.75" customWidth="1"/>
    <col min="10" max="10" width="8.875" customWidth="1"/>
    <col min="11" max="11" width="2.375" customWidth="1"/>
    <col min="12" max="12" width="8.875" customWidth="1"/>
    <col min="13" max="13" width="2.375" customWidth="1"/>
    <col min="14" max="15" width="13" hidden="1" customWidth="1"/>
    <col min="16" max="16" width="13.875" hidden="1" customWidth="1"/>
    <col min="17" max="17" width="6.5" hidden="1" customWidth="1"/>
    <col min="18" max="22" width="20.25" hidden="1" customWidth="1"/>
    <col min="23" max="23" width="8" hidden="1" customWidth="1"/>
    <col min="24" max="24" width="4.625" hidden="1" customWidth="1"/>
    <col min="25" max="26" width="6.375" hidden="1" customWidth="1"/>
    <col min="27" max="27" width="8.25" hidden="1" customWidth="1"/>
    <col min="28" max="29" width="17.125" hidden="1" customWidth="1"/>
    <col min="30" max="30" width="8.625" hidden="1" customWidth="1"/>
    <col min="31" max="31" width="6" hidden="1" customWidth="1"/>
    <col min="32" max="32" width="3.125" hidden="1" customWidth="1"/>
    <col min="33" max="33" width="10.625" hidden="1" customWidth="1"/>
    <col min="34" max="34" width="2.25" hidden="1" customWidth="1"/>
    <col min="35" max="35" width="8.5" hidden="1" customWidth="1"/>
    <col min="36" max="36" width="2.25" hidden="1" customWidth="1"/>
    <col min="37" max="37" width="8.5" hidden="1" customWidth="1"/>
    <col min="38" max="38" width="4.625" hidden="1" customWidth="1"/>
    <col min="39" max="41" width="9" hidden="1" customWidth="1"/>
    <col min="42" max="43" width="20.625" hidden="1" customWidth="1"/>
    <col min="44" max="44" width="17.375" hidden="1" customWidth="1"/>
    <col min="45" max="45" width="6.25" hidden="1" customWidth="1"/>
    <col min="46" max="46" width="3" hidden="1" customWidth="1"/>
    <col min="47" max="47" width="7.875" hidden="1" customWidth="1"/>
    <col min="48" max="48" width="3.375" hidden="1" customWidth="1"/>
    <col min="49" max="49" width="7.875" hidden="1" customWidth="1"/>
    <col min="50" max="50" width="3.375" hidden="1" customWidth="1"/>
    <col min="51" max="51" width="9" hidden="1" customWidth="1"/>
    <col min="52" max="57" width="8.625" hidden="1" customWidth="1"/>
    <col min="58" max="61" width="0" hidden="1" customWidth="1"/>
  </cols>
  <sheetData>
    <row r="1" spans="1:33" ht="17.25" customHeight="1">
      <c r="A1" t="s">
        <v>12</v>
      </c>
      <c r="L1" s="92"/>
      <c r="N1" t="s">
        <v>123</v>
      </c>
    </row>
    <row r="2" spans="1:33" ht="15" customHeight="1">
      <c r="G2" t="s">
        <v>54</v>
      </c>
      <c r="H2" s="471"/>
      <c r="I2" s="471"/>
      <c r="J2" s="471"/>
      <c r="K2" s="292"/>
      <c r="L2" s="54"/>
    </row>
    <row r="3" spans="1:33" ht="15" customHeight="1">
      <c r="G3" t="s">
        <v>13</v>
      </c>
      <c r="H3" s="472"/>
      <c r="I3" s="472"/>
      <c r="J3" s="472"/>
      <c r="K3" s="293"/>
      <c r="L3" s="55"/>
    </row>
    <row r="4" spans="1:33" ht="15" customHeight="1">
      <c r="G4" t="s">
        <v>14</v>
      </c>
      <c r="H4" s="480"/>
      <c r="I4" s="480"/>
      <c r="J4" s="480"/>
      <c r="K4" s="481"/>
      <c r="L4" s="55"/>
    </row>
    <row r="5" spans="1:33" ht="15" customHeight="1">
      <c r="G5" t="s">
        <v>15</v>
      </c>
      <c r="H5" s="472"/>
      <c r="I5" s="472"/>
      <c r="J5" s="472"/>
      <c r="K5" s="472"/>
      <c r="L5" s="56" t="s">
        <v>55</v>
      </c>
    </row>
    <row r="6" spans="1:33" ht="2.25" customHeight="1">
      <c r="J6" s="2"/>
      <c r="K6" s="2"/>
      <c r="L6" s="2"/>
    </row>
    <row r="7" spans="1:33" ht="42.75" customHeight="1">
      <c r="B7" s="473" t="s">
        <v>131</v>
      </c>
      <c r="C7" s="474"/>
      <c r="D7" s="474"/>
      <c r="E7" s="474"/>
      <c r="F7" s="474"/>
      <c r="G7" s="474"/>
      <c r="H7" s="474"/>
      <c r="I7" s="474"/>
      <c r="J7" s="474"/>
      <c r="K7" s="474"/>
      <c r="L7" s="25"/>
    </row>
    <row r="8" spans="1:33" ht="2.25" customHeight="1"/>
    <row r="9" spans="1:33">
      <c r="A9" s="3" t="s">
        <v>16</v>
      </c>
    </row>
    <row r="10" spans="1:33" ht="23.25" customHeight="1">
      <c r="A10" s="475" t="s">
        <v>0</v>
      </c>
      <c r="B10" s="476"/>
      <c r="C10" s="477"/>
      <c r="D10" s="478"/>
      <c r="E10" s="478"/>
      <c r="F10" s="479"/>
      <c r="G10" s="441" t="s">
        <v>1</v>
      </c>
      <c r="H10" s="441"/>
      <c r="I10" s="442"/>
      <c r="J10" s="443"/>
      <c r="K10" s="443"/>
      <c r="L10" s="444"/>
      <c r="M10" s="27"/>
      <c r="N10" s="114">
        <f>F33</f>
        <v>0</v>
      </c>
    </row>
    <row r="11" spans="1:33" ht="23.25" customHeight="1">
      <c r="A11" s="436" t="s">
        <v>2</v>
      </c>
      <c r="B11" s="437"/>
      <c r="C11" s="438"/>
      <c r="D11" s="439"/>
      <c r="E11" s="439"/>
      <c r="F11" s="440"/>
      <c r="G11" s="441" t="str">
        <f>IF(C12="従前方式","⑤退職日",IF(C12="制度退会方式","⑤旧定年日（制度退会日）",IF(C12="ピーク時特例方式","⑤旧定年日","")))</f>
        <v/>
      </c>
      <c r="H11" s="441"/>
      <c r="I11" s="442"/>
      <c r="J11" s="443"/>
      <c r="K11" s="443"/>
      <c r="L11" s="444"/>
      <c r="M11" s="34"/>
      <c r="N11" s="113">
        <f>F46</f>
        <v>0</v>
      </c>
      <c r="P11" s="90"/>
      <c r="T11" s="52"/>
      <c r="U11" s="53"/>
      <c r="V11" s="51"/>
      <c r="AG11" s="50"/>
    </row>
    <row r="12" spans="1:33" ht="23.25" customHeight="1">
      <c r="A12" s="30"/>
      <c r="B12" s="31" t="s">
        <v>142</v>
      </c>
      <c r="C12" s="445"/>
      <c r="D12" s="446"/>
      <c r="E12" s="446"/>
      <c r="F12" s="447"/>
      <c r="G12" s="441" t="str">
        <f>IF(C12="ピーク時特例方式","⑥退職日","")</f>
        <v/>
      </c>
      <c r="H12" s="441"/>
      <c r="I12" s="442"/>
      <c r="J12" s="443"/>
      <c r="K12" s="443"/>
      <c r="L12" s="444"/>
      <c r="M12" s="122"/>
      <c r="P12" s="91"/>
      <c r="AG12" s="50"/>
    </row>
    <row r="13" spans="1:33" ht="23.25" customHeight="1">
      <c r="A13" s="29"/>
      <c r="B13" s="32" t="s">
        <v>44</v>
      </c>
      <c r="C13" s="448"/>
      <c r="D13" s="449"/>
      <c r="E13" s="449"/>
      <c r="F13" s="450"/>
      <c r="G13" s="451" t="s">
        <v>20</v>
      </c>
      <c r="H13" s="452"/>
      <c r="I13" s="119" t="s">
        <v>19</v>
      </c>
      <c r="J13" s="120" t="str">
        <f>INT($M$13/12)&amp;"年"&amp;MOD($M$13,12)&amp;"ヶ月"</f>
        <v>0年0ヶ月</v>
      </c>
      <c r="K13" s="332" t="str">
        <f>IF($C$12="ピーク時特例方式","うち旧定年日迄は"&amp;INT($O$13/12)&amp;"年"&amp;MOD($O$13,12)&amp;"ヶ月","")</f>
        <v/>
      </c>
      <c r="L13" s="333"/>
      <c r="M13" s="125">
        <f>IF($C$12="",0,IF($C$12="ピーク時特例方式",DATEDIF(EOMONTH(I10-1,-1)+1,EOMONTH(I12,0),"m"),DATEDIF(EOMONTH(I10-1,-1)+1,EOMONTH(I11,0),"m")))</f>
        <v>0</v>
      </c>
      <c r="N13" s="263" t="str">
        <f>INT(O13/12)&amp;"年"&amp;MOD(O13,12)&amp;"ヶ月"</f>
        <v>0年0ヶ月</v>
      </c>
      <c r="O13" s="99">
        <f>IF(C12="",0,DATEDIF(EOMONTH(I10-1,-1)+1,EOMONTH(I11,0),"m"))</f>
        <v>0</v>
      </c>
      <c r="P13" s="91"/>
    </row>
    <row r="14" spans="1:33" ht="24" customHeight="1">
      <c r="A14" s="451" t="s">
        <v>3</v>
      </c>
      <c r="B14" s="452"/>
      <c r="C14" s="453" t="str">
        <f>IF(AND(C13&lt;&gt;R81,C13&lt;&gt;R84,C13&lt;&gt;S81,C13&lt;&gt;U82,C13&lt;&gt;V82),"ア．本人","イ．その他 　　　　　　　　　（右欄のとおり）")</f>
        <v>ア．本人</v>
      </c>
      <c r="D14" s="454"/>
      <c r="E14" s="455"/>
      <c r="F14" s="456"/>
      <c r="G14" s="337" t="s">
        <v>29</v>
      </c>
      <c r="H14" s="338"/>
      <c r="I14" s="457" t="s">
        <v>78</v>
      </c>
      <c r="J14" s="459"/>
      <c r="K14" s="459"/>
      <c r="L14" s="460"/>
      <c r="M14" s="126">
        <f>IF(J14=0,0,IF(DAY(J14)=1,DATEDIF(EOMONTH(J14,-1)-1,EOMONTH(J15,0),"m"),DATEDIF(EOMONTH(J14,-1)+1,EOMONTH(J15,0),"m")))</f>
        <v>0</v>
      </c>
      <c r="N14" s="111"/>
      <c r="O14" s="114">
        <f>IF(J14&gt;=$I$11,$I$11,J14)</f>
        <v>0</v>
      </c>
      <c r="P14" s="101">
        <f>IF(O14=0,0,IF(DAY(O14)=1,DATEDIF(EOMONTH(O14,-1)-1,EOMONTH(O15,0),"m"),DATEDIF(EOMONTH(O14,-1)+1,EOMONTH(O15,0),"m")))</f>
        <v>0</v>
      </c>
      <c r="Q14" s="42"/>
    </row>
    <row r="15" spans="1:33" ht="24" customHeight="1">
      <c r="A15" s="352" t="str">
        <f>IF($C$12&lt;&gt;"従前方式","⑩旧定年日の属する月の1年前の給料月額（実際に適用した額）","⑩退職日の属する月の1年前の給料月額（実際に適用した額）")</f>
        <v>⑩旧定年日の属する月の1年前の給料月額（実際に適用した額）</v>
      </c>
      <c r="B15" s="353"/>
      <c r="C15" s="353"/>
      <c r="D15" s="353"/>
      <c r="E15" s="354"/>
      <c r="F15" s="273"/>
      <c r="G15" s="339"/>
      <c r="H15" s="340"/>
      <c r="I15" s="458"/>
      <c r="J15" s="357"/>
      <c r="K15" s="357"/>
      <c r="L15" s="358"/>
      <c r="M15" s="126"/>
      <c r="N15" s="111"/>
      <c r="O15" s="114">
        <f t="shared" ref="O15:O19" si="0">IF(J15&gt;=$I$11,$I$11,J15)</f>
        <v>0</v>
      </c>
      <c r="P15" s="101"/>
    </row>
    <row r="16" spans="1:33" ht="24" customHeight="1">
      <c r="A16" s="334" t="str">
        <f>IF(C12&lt;&gt;"従前方式","⑪旧定年日の給料月額（ただし⓾の４％増以内）","⑪退職又は死亡した日の給料月額（ただし⑩の4％増以内)")</f>
        <v>⑪旧定年日の給料月額（ただし⓾の４％増以内）</v>
      </c>
      <c r="B16" s="335"/>
      <c r="C16" s="335"/>
      <c r="D16" s="335"/>
      <c r="E16" s="336"/>
      <c r="F16" s="272"/>
      <c r="G16" s="339"/>
      <c r="H16" s="340"/>
      <c r="I16" s="348" t="s">
        <v>79</v>
      </c>
      <c r="J16" s="350"/>
      <c r="K16" s="350"/>
      <c r="L16" s="351"/>
      <c r="M16" s="126">
        <f>IF(J16=0,0,IF(DAY(J16)=1,DATEDIF(EOMONTH(J16,-1)-1,EOMONTH(J17,0),"m"),DATEDIF(EOMONTH(J16,-1)+1,EOMONTH(J17,0),"m")))</f>
        <v>0</v>
      </c>
      <c r="N16" s="110"/>
      <c r="O16" s="114">
        <f>IF(J16&gt;=$I$11,$I$11,J16)</f>
        <v>0</v>
      </c>
      <c r="P16" s="101">
        <f>IF(O16=0,0,IF(DAY(O16)=1,DATEDIF(EOMONTH(O16,-1)-1,EOMONTH(O17,0),"m"),DATEDIF(EOMONTH(O16,-1)+1,EOMONTH(O17,0),"m")))</f>
        <v>0</v>
      </c>
    </row>
    <row r="17" spans="1:59" ht="24" customHeight="1">
      <c r="A17" s="360" t="str">
        <f>IF(C12="ピーク時特例方式","⑫退職又は死亡した日の属する月の1年前の給料月額（ピーク時特例方式適用の場合のみ入力）","")</f>
        <v/>
      </c>
      <c r="B17" s="361"/>
      <c r="C17" s="361"/>
      <c r="D17" s="361"/>
      <c r="E17" s="362"/>
      <c r="F17" s="273"/>
      <c r="G17" s="339"/>
      <c r="H17" s="340"/>
      <c r="I17" s="359"/>
      <c r="J17" s="363"/>
      <c r="K17" s="363"/>
      <c r="L17" s="364"/>
      <c r="M17" s="126"/>
      <c r="N17" s="110"/>
      <c r="O17" s="114">
        <f>IF(J17&gt;=$I$11,$I$11,J17)</f>
        <v>0</v>
      </c>
      <c r="P17" s="102"/>
    </row>
    <row r="18" spans="1:59" ht="24" customHeight="1">
      <c r="A18" s="464" t="str">
        <f>IF(C12="ピーク時特例方式","⑬退職又は死亡した日の給料月額（昇給率4％以内）（ピーク時特例方式適用の場合のみ入力）","")</f>
        <v/>
      </c>
      <c r="B18" s="465"/>
      <c r="C18" s="465"/>
      <c r="D18" s="465"/>
      <c r="E18" s="466"/>
      <c r="F18" s="284"/>
      <c r="G18" s="339"/>
      <c r="H18" s="340"/>
      <c r="I18" s="348" t="s">
        <v>80</v>
      </c>
      <c r="J18" s="350"/>
      <c r="K18" s="350"/>
      <c r="L18" s="351"/>
      <c r="M18" s="126">
        <f>IF(J18=0,0,IF(DAY(J18)=1,DATEDIF(EOMONTH(J18,-1)-1,EOMONTH(J19,0),"m"),DATEDIF(EOMONTH(J18,-1)+1,EOMONTH(J19,0),"m")))</f>
        <v>0</v>
      </c>
      <c r="N18" s="96"/>
      <c r="O18" s="114">
        <f t="shared" si="0"/>
        <v>0</v>
      </c>
      <c r="P18" s="101">
        <f>IF(O18=0,0,IF(DAY(O18)=1,DATEDIF(EOMONTH(O18,-1)-1,EOMONTH(O19,0),"m"),DATEDIF(EOMONTH(O18,-1)+1,EOMONTH(O19,0),"m")))</f>
        <v>0</v>
      </c>
    </row>
    <row r="19" spans="1:59" ht="24" customHeight="1">
      <c r="A19" s="352" t="str">
        <f>IF(OR($C$13="整理",$C$13="業務上傷病",$C$13="業務上死亡"),IF(C12&lt;&gt;"ピーク時特例方式","退職日の属する月に受けた扶養手当額(整理退職、業務上傷病退職、業務上死亡退職時に入力）","旧定年日の属する月に受けた扶養手当額(整理退職、業務上傷病退職、業務上死亡退職時に入力）"),"")</f>
        <v/>
      </c>
      <c r="B19" s="353"/>
      <c r="C19" s="353"/>
      <c r="D19" s="353"/>
      <c r="E19" s="354"/>
      <c r="F19" s="275"/>
      <c r="G19" s="339"/>
      <c r="H19" s="340"/>
      <c r="I19" s="349"/>
      <c r="J19" s="355"/>
      <c r="K19" s="355"/>
      <c r="L19" s="356"/>
      <c r="M19" s="126"/>
      <c r="N19" s="96"/>
      <c r="O19" s="114">
        <f t="shared" si="0"/>
        <v>0</v>
      </c>
      <c r="P19" s="102"/>
    </row>
    <row r="20" spans="1:59" ht="24" customHeight="1">
      <c r="A20" s="334" t="str">
        <f>IF(C12&lt;&gt;"ピーク時特例方式","",IF(OR($C$13="整理",$C$13="業務上傷病",$C$13="業務上死亡"),"退職月に受けた扶養手当額(整理退職、業務上傷病退職、業務上死亡退職時に入力）",""))</f>
        <v/>
      </c>
      <c r="B20" s="335"/>
      <c r="C20" s="335"/>
      <c r="D20" s="335"/>
      <c r="E20" s="336"/>
      <c r="F20" s="274"/>
      <c r="G20" s="334"/>
      <c r="H20" s="336"/>
      <c r="I20" s="112" t="s">
        <v>19</v>
      </c>
      <c r="J20" s="121" t="str">
        <f>INT($M$21/12)&amp;"年"&amp;MOD($M$21,12)&amp;"ヶ月"</f>
        <v>0年0ヶ月</v>
      </c>
      <c r="K20" s="341" t="str">
        <f>IF($C$12="ピーク時特例方式","うち旧定年日前は"&amp;INT($P$21/12)&amp;"年"&amp;MOD($P$21,12)&amp;"ヶ月","")</f>
        <v/>
      </c>
      <c r="L20" s="342"/>
      <c r="M20" s="270"/>
      <c r="N20" s="96"/>
      <c r="O20" s="114"/>
      <c r="P20" s="102"/>
    </row>
    <row r="21" spans="1:59" ht="24" customHeight="1">
      <c r="A21" s="276" t="s">
        <v>118</v>
      </c>
      <c r="B21" s="343"/>
      <c r="C21" s="344"/>
      <c r="D21" s="344"/>
      <c r="E21" s="344"/>
      <c r="F21" s="345"/>
      <c r="G21" s="334" t="s">
        <v>117</v>
      </c>
      <c r="H21" s="336"/>
      <c r="I21" s="112" t="s">
        <v>19</v>
      </c>
      <c r="J21" s="271" t="str">
        <f>INT(($M$13-$M$21)/12)&amp;"年"&amp;MOD($M$13-$M$21,12)&amp;"ヶ月"</f>
        <v>0年0ヶ月</v>
      </c>
      <c r="K21" s="341" t="str">
        <f>IF($C$12="ピーク時特例方式","うち旧定年日迄は　　"&amp;INT(($O$13-$P$21)/12)&amp;"年"&amp;MOD($O$13-$P$21,12)&amp;"ヶ月","")</f>
        <v/>
      </c>
      <c r="L21" s="342" t="str">
        <f t="shared" ref="L21" si="1">IF($C$12="ピーク時特例方式","うち旧定年日迄は　 　"&amp;INT(($O$13-$P$21)/12)&amp;"年"&amp;MOD($O$13-$P$21,12)&amp;"ヶ月","")</f>
        <v/>
      </c>
      <c r="M21" s="59">
        <f>SUM(M14:M19)</f>
        <v>0</v>
      </c>
      <c r="N21" s="59"/>
      <c r="O21" s="100"/>
      <c r="P21" s="100">
        <f>SUM(P14:P19)</f>
        <v>0</v>
      </c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</row>
    <row r="22" spans="1:59" ht="8.1" hidden="1" customHeight="1">
      <c r="A22" s="4"/>
      <c r="B22" s="4"/>
      <c r="C22" s="4"/>
      <c r="D22" s="4"/>
      <c r="E22" s="283">
        <f>M13-M21</f>
        <v>0</v>
      </c>
      <c r="F22" s="295">
        <f>IF(C12="ピーク時特例方式",O13-P21,M13-M21)</f>
        <v>0</v>
      </c>
      <c r="G22" s="296">
        <f>IF(C12="ピーク時特例方式",M13-M21,O13-P21)</f>
        <v>0</v>
      </c>
      <c r="H22" s="282"/>
      <c r="I22" s="123"/>
      <c r="J22" s="122"/>
      <c r="K22" s="122"/>
      <c r="L22" s="122"/>
      <c r="M22" s="122"/>
      <c r="N22" s="124" t="s">
        <v>65</v>
      </c>
      <c r="O22" s="97"/>
      <c r="P22" s="97" t="str">
        <f>INT(P21/12)&amp;"年"&amp;MOD(P21,12)&amp;"ヶ月"</f>
        <v>0年0ヶ月</v>
      </c>
      <c r="W22" s="128"/>
      <c r="X22" s="264" t="s">
        <v>114</v>
      </c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</row>
    <row r="23" spans="1:59" ht="23.25" customHeight="1">
      <c r="A23" s="3" t="s">
        <v>17</v>
      </c>
      <c r="E23" s="122"/>
      <c r="F23" s="124" t="str">
        <f>IF(C12&lt;&gt;"ピーク時特例方式","全加入期間","旧定年まで期間")</f>
        <v>全加入期間</v>
      </c>
      <c r="G23" s="124" t="str">
        <f>IF(C12="ピーク時特例方式","退職日まで期間","旧定年まで期間")</f>
        <v>旧定年まで期間</v>
      </c>
      <c r="H23" s="128"/>
      <c r="I23" s="122"/>
      <c r="J23" s="122"/>
      <c r="K23" s="122"/>
      <c r="L23" s="122"/>
      <c r="M23" s="122"/>
      <c r="O23" s="35"/>
      <c r="P23" s="35"/>
      <c r="W23" s="128"/>
      <c r="X23" t="s">
        <v>111</v>
      </c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 t="s">
        <v>110</v>
      </c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</row>
    <row r="24" spans="1:59">
      <c r="A24" s="3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J24" s="3" t="s">
        <v>43</v>
      </c>
      <c r="W24" s="128"/>
      <c r="X24" s="3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AG24" s="3" t="s">
        <v>82</v>
      </c>
      <c r="AK24" s="128"/>
      <c r="AL24" s="187" t="str">
        <f>IF($C$12="ピーク時特例方式","　(1)加入～旧定年日まで",IF($C$12="制度退会方式","　加入～旧定年日（制度退会日）まで","　加入～退職日まで"))</f>
        <v>　加入～退職日まで</v>
      </c>
      <c r="AM24" s="128"/>
      <c r="AN24" s="128"/>
      <c r="AO24" s="128"/>
      <c r="AP24" s="128"/>
      <c r="AQ24" s="128"/>
      <c r="AR24" s="128"/>
      <c r="AS24" s="128"/>
      <c r="AT24" s="128"/>
      <c r="AU24" s="187" t="s">
        <v>43</v>
      </c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</row>
    <row r="25" spans="1:59" ht="27" customHeight="1">
      <c r="A25" s="467" t="s">
        <v>4</v>
      </c>
      <c r="B25" s="468"/>
      <c r="C25" s="469" t="str">
        <f>IF(C12="ピーク時特例方式",IF($K$31="○","旧定年日の基準給　　　　　＋扶養手当…⑬","旧定年日の基準給…⑪"),IF(C12="制度退会方式","旧定年日（制度退会日）の基準給…⑪",IF(K31="○","退職日の基準給　　　　　　　＋扶養手当…⑪","退職日の基準給…⑪")))</f>
        <v>退職日の基準給…⑪</v>
      </c>
      <c r="D25" s="470"/>
      <c r="E25" s="33" t="s">
        <v>63</v>
      </c>
      <c r="F25" s="170" t="str">
        <f>IF(K31="○","給付率","給付率
（割合×加入期間）")</f>
        <v>給付率
（割合×加入期間）</v>
      </c>
      <c r="G25" s="482" t="s">
        <v>62</v>
      </c>
      <c r="H25" s="483"/>
      <c r="I25" s="5"/>
      <c r="J25" s="484" t="s">
        <v>30</v>
      </c>
      <c r="K25" s="485"/>
      <c r="L25" s="484" t="s">
        <v>37</v>
      </c>
      <c r="M25" s="485"/>
      <c r="N25" s="62"/>
      <c r="O25" s="297" t="s">
        <v>56</v>
      </c>
      <c r="P25" s="461" t="s">
        <v>57</v>
      </c>
      <c r="Q25" s="462"/>
      <c r="R25" s="462"/>
      <c r="S25" s="462"/>
      <c r="T25" s="462"/>
      <c r="U25" s="462"/>
      <c r="V25" s="463"/>
      <c r="W25" s="129"/>
      <c r="X25" s="372" t="s">
        <v>4</v>
      </c>
      <c r="Y25" s="373"/>
      <c r="Z25" s="372" t="str">
        <f>IF(Z12="ピーク時特例方式","旧定年日の基準給…⑪",IF(Z12="制度退会方式","旧定年日（制度退会日）の基準給…⑪","退職日の基準給…⑪"))</f>
        <v>退職日の基準給…⑪</v>
      </c>
      <c r="AA25" s="373"/>
      <c r="AB25" s="36" t="s">
        <v>83</v>
      </c>
      <c r="AC25" s="36" t="s">
        <v>84</v>
      </c>
      <c r="AD25" s="528" t="s">
        <v>85</v>
      </c>
      <c r="AE25" s="529"/>
      <c r="AF25" s="133"/>
      <c r="AG25" s="382" t="s">
        <v>86</v>
      </c>
      <c r="AH25" s="383"/>
      <c r="AI25" s="382" t="s">
        <v>87</v>
      </c>
      <c r="AJ25" s="383"/>
      <c r="AK25" s="128"/>
      <c r="AL25" s="407" t="s">
        <v>4</v>
      </c>
      <c r="AM25" s="408"/>
      <c r="AN25" s="409" t="str">
        <f>IF(AN12="ピーク時特例方式","旧定年日の基準給…⑪",IF(AN12="制度退会方式","旧定年日（制度退会日）の基準給…⑪","退職日の基準給…⑪"))</f>
        <v>退職日の基準給…⑪</v>
      </c>
      <c r="AO25" s="410"/>
      <c r="AP25" s="188" t="s">
        <v>63</v>
      </c>
      <c r="AQ25" s="189" t="str">
        <f>IF(AV31="○","給付率","給付率
（割合×加入期間）")</f>
        <v>給付率</v>
      </c>
      <c r="AR25" s="428" t="s">
        <v>115</v>
      </c>
      <c r="AS25" s="429"/>
      <c r="AT25" s="190"/>
      <c r="AU25" s="430" t="s">
        <v>30</v>
      </c>
      <c r="AV25" s="431"/>
      <c r="AW25" s="430" t="s">
        <v>37</v>
      </c>
      <c r="AX25" s="431"/>
      <c r="AY25" s="128"/>
      <c r="AZ25" s="128"/>
      <c r="BA25" s="128"/>
      <c r="BB25" s="128"/>
      <c r="BC25" s="128"/>
      <c r="BD25" s="128"/>
      <c r="BE25" s="128"/>
      <c r="BF25" s="128"/>
      <c r="BG25" s="128"/>
    </row>
    <row r="26" spans="1:59" ht="12" customHeight="1">
      <c r="A26" s="6" t="s">
        <v>5</v>
      </c>
      <c r="B26" s="80">
        <f>IF(AND(K27="○",K28="○"),$Q$28*$U$32,IF(K27="○",$Q$28,IF(K29="○",$Q$36,IF(AND(K30="○",K31="○"),$U$44,IF(K30="○",$Q$40,0)))))</f>
        <v>0</v>
      </c>
      <c r="C26" s="365">
        <f>IF(K31="○",$F$16+$F$19,F16)</f>
        <v>0</v>
      </c>
      <c r="D26" s="366"/>
      <c r="E26" s="83">
        <f>IF(AND(K26="○",OR(K27="○",K30="○")),1,IF(K27="○",IF($F$22&lt;12*$Q$27,INT($F$22/12),$Q$27),IF(K29="○",IF($F$22&lt;12*$Q$35,INT($F$22/12),$Q$35),IF(K30="○",IF($F$22&lt;12*$Q$39,INT($F$22/12),$Q$39),IF(K32="○",INT($F$22/12),0)))))</f>
        <v>0</v>
      </c>
      <c r="F26" s="7">
        <f>IF(K31="○",$U$44,B26*E26)</f>
        <v>0</v>
      </c>
      <c r="G26" s="367">
        <f>INT(C26*F26)</f>
        <v>0</v>
      </c>
      <c r="H26" s="368"/>
      <c r="I26" s="8"/>
      <c r="J26" s="43" t="s">
        <v>36</v>
      </c>
      <c r="K26" s="44" t="str">
        <f>IF(OR(AND(OR($C$13="業務外傷病",$C$13="業務外死亡（15年未満）"),AND($F$22&gt;=6,$F$22&lt;12)),AND(OR($C$13="整理",$C$13="業務上傷病",$C$13="業務上死亡"),AND($F$22&gt;0,$F$22&lt;12))),"○","")</f>
        <v/>
      </c>
      <c r="L26" s="43" t="s">
        <v>38</v>
      </c>
      <c r="M26" s="44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,$C$13="業務外傷病　※定年退職扱い"),AND($F$22&gt;=240,$F$22&lt;300)),AND(OR($C$13="定年（25年以上）",$C$13="勧奨（25年以上）",$C$13="業務外死亡（25年以上）",$C$13="業務外傷病　※定年退職扱い"),$F$22&gt;=240)),"○","")</f>
        <v/>
      </c>
      <c r="N26" s="60"/>
      <c r="O26" s="369" t="s">
        <v>31</v>
      </c>
      <c r="P26" s="298" t="s">
        <v>58</v>
      </c>
      <c r="Q26" s="299">
        <v>1</v>
      </c>
      <c r="R26" s="299">
        <v>11</v>
      </c>
      <c r="S26" s="299">
        <v>16</v>
      </c>
      <c r="T26" s="299">
        <v>21</v>
      </c>
      <c r="U26" s="299">
        <v>26</v>
      </c>
      <c r="V26" s="299">
        <v>31</v>
      </c>
      <c r="W26" s="129"/>
      <c r="X26" s="134" t="s">
        <v>88</v>
      </c>
      <c r="Y26" s="135">
        <f>IF(AND(AH30="○",$AH$31="○"),$U$44,IF(AH30="○",$Q$40,0))</f>
        <v>1.5</v>
      </c>
      <c r="Z26" s="530">
        <f>F16</f>
        <v>0</v>
      </c>
      <c r="AA26" s="531"/>
      <c r="AB26" s="136">
        <f>IF(AND(AH26="○",OR(AH27="○",AH30="○")),1,IF(AH27="○",IF($F$22&lt;12*$Q$27,INT($F$22/12),$Q$27),IF(AH29="○",IF($F$22&lt;12*$Q$35,INT($F$22/12),$Q$35),IF(AH30="○",IF($F$22&lt;12*$Q$39,INT($F$22/12),$Q$39),0))))</f>
        <v>0</v>
      </c>
      <c r="AC26" s="137">
        <f>IF(AH31="○",$AD$54,Y26*AB26)</f>
        <v>0</v>
      </c>
      <c r="AD26" s="532">
        <f>INT(Z26*AC26)</f>
        <v>0</v>
      </c>
      <c r="AE26" s="533"/>
      <c r="AF26" s="138"/>
      <c r="AG26" s="139" t="s">
        <v>89</v>
      </c>
      <c r="AH26" s="140" t="str">
        <f>IF(OR(AND(OR($C$13="業務外傷病",$C$13="業務外死亡（15年未満）"),AND($F$22&gt;=6,$F$22&lt;12)),AND(OR($C$13="整理",$C$13="業務上傷病",$C$13="業務上死亡"),AND(AC22&gt;0,AC22&lt;12))),"○","")</f>
        <v/>
      </c>
      <c r="AI26" s="139" t="s">
        <v>90</v>
      </c>
      <c r="AJ26" s="140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),AND($F$22&gt;=240,$F$22&lt;300)),AND(OR($C$13="定年（25年以上）",$C$13="勧奨（25年以上）",$C$13="業務外死亡（25年以上）"),$F$22&gt;=240)),"○","")</f>
        <v/>
      </c>
      <c r="AK26" s="128"/>
      <c r="AL26" s="191" t="s">
        <v>5</v>
      </c>
      <c r="AM26" s="192">
        <f>IF(AND(AV27="○",AV28="○"),$Q$28*$U$32,IF(AV27="○",$Q$28,IF(AV29="○",$Q$36,IF(AND(AV30="○",AV31="○"),$AR$54,IF(AV30="○",$Q$40,0)))))</f>
        <v>2.7</v>
      </c>
      <c r="AN26" s="432">
        <f>IF(AV31="○",$F$16+$F$19,AQ16)</f>
        <v>0</v>
      </c>
      <c r="AO26" s="433"/>
      <c r="AP26" s="193">
        <f>IF(AND(AV26="○",OR(AV27="○",AV30="○")),1,IF(AV27="○",IF($F$22&lt;12*$Q$27,INT($F$22/12),$Q$27),IF(AV29="○",IF($F$22&lt;12*$Q$35,INT($F$22/12),$Q$35),IF(AV30="○",IF($F$22&lt;12*$Q$39,IF(AV31="○",1,INT($F$22/12)),$Q$39),0))))</f>
        <v>1</v>
      </c>
      <c r="AQ26" s="194">
        <f>IF(AV31="○",$AR$54,AM26*AP26)</f>
        <v>2.7</v>
      </c>
      <c r="AR26" s="434">
        <f>INT(AN26*AQ26)</f>
        <v>0</v>
      </c>
      <c r="AS26" s="435"/>
      <c r="AT26" s="195"/>
      <c r="AU26" s="196" t="s">
        <v>36</v>
      </c>
      <c r="AV26" s="197" t="str">
        <f>IF(OR(AND(OR($C$13="業務外傷病",$C$13="業務外死亡（15年未満）"),AND($F$22&gt;=6,$F$22&lt;12)),AND(OR($C$13="整理",$C$13="業務上傷病",$C$13="業務上死亡"),AND(AQ22&gt;0,AQ22&lt;12))),"○","")</f>
        <v/>
      </c>
      <c r="AW26" s="196" t="s">
        <v>38</v>
      </c>
      <c r="AX26" s="197" t="str">
        <f>IF(OR(AND(OR($C$13="業務外傷病",$C$13="業務外死亡（15年未満）"),OR(AND($F$22&gt;=240,$F$22&lt;444),$F$22&gt;=540)),AND($C$13="自己都合",$F$22&gt;=540),AND(OR($C$13="整理",$C$13="業務上傷病",$C$13="業務上死亡"),$F$22&gt;=240),AND(OR($C$13="定年(15年以上25年未満）",$C$13="勧奨（15年以上25年未満）",$C$13="業務外死亡（15年以上25年未満）"),AND($F$22&gt;=240,$F$22&lt;300)),AND(OR($C$13="定年（25年以上）",$C$13="勧奨（25年以上）",$C$13="業務外死亡（25年以上）"),$F$22&gt;=240)),"○","")</f>
        <v/>
      </c>
      <c r="AY26" s="128"/>
      <c r="AZ26" s="128"/>
      <c r="BA26" s="128"/>
      <c r="BB26" s="128"/>
      <c r="BC26" s="128"/>
      <c r="BD26" s="128"/>
      <c r="BE26" s="128"/>
      <c r="BF26" s="128"/>
      <c r="BG26" s="128"/>
    </row>
    <row r="27" spans="1:59" ht="12" customHeight="1">
      <c r="A27" s="9" t="s">
        <v>6</v>
      </c>
      <c r="B27" s="81">
        <f>IF(K31="○",0,IF(OR(E27=0,$B$26="給付対象外"),0,IF(AND($K$27="○",$K$28="○"),$R$28*$U$32,IF(K27="○",$R$28,IF(K29="○",$R$36,IF(K30="○",$R$40,IF(AND(K31="○",K30="○"),$R$44,0)))))))</f>
        <v>0</v>
      </c>
      <c r="C27" s="384">
        <f>IF(E27=0,0,$F$16)</f>
        <v>0</v>
      </c>
      <c r="D27" s="385"/>
      <c r="E27" s="12">
        <f>IF(K26="○",0,IF(K27="○",IF($F$22&lt;12*$R$27,INT($F$22/12-E26),$R$27-E26),IF(K29="○",IF($F$22&lt;12*$R$35,INT($F$22/12-E26),$R$35-E26),IF(K30="○",IF($F$22&lt;12*$R$39,INT($F$22/12-$E$26),$R$39-E26),0))))</f>
        <v>0</v>
      </c>
      <c r="F27" s="10">
        <f t="shared" ref="F27:F31" si="2">B27*E27</f>
        <v>0</v>
      </c>
      <c r="G27" s="386">
        <f t="shared" ref="G27:G31" si="3">INT(C27*F27)</f>
        <v>0</v>
      </c>
      <c r="H27" s="387"/>
      <c r="I27" s="8"/>
      <c r="J27" s="45" t="s">
        <v>31</v>
      </c>
      <c r="K27" s="46" t="str">
        <f>IF(OR(AND(OR($C$13="自己都合",$C$13="業務外傷病",$C$13="業務外死亡（15年未満）",$C$13="定年（15年未満）※自己都合退職扱い",$C$13="勧奨（15年未満）※自己都合退職扱い"),AND($F$22&gt;=12,$F$22&lt;540)),AND(OR($C$13="業務外傷病",$C$13="業務外死亡（15年未満）"),AND($F$22&gt;=6,$F$22&lt;12))),"○","")</f>
        <v/>
      </c>
      <c r="L27" s="45" t="s">
        <v>39</v>
      </c>
      <c r="M27" s="46" t="str">
        <f>IF(AND(OR($C$13="業務外傷病",$C$13="業務外死亡（15年未満）"),AND($F$22&gt;=432,$F$22&lt;444)),"○","")</f>
        <v/>
      </c>
      <c r="N27" s="60"/>
      <c r="O27" s="370"/>
      <c r="P27" s="300" t="s">
        <v>60</v>
      </c>
      <c r="Q27" s="301">
        <v>10</v>
      </c>
      <c r="R27" s="301">
        <v>15</v>
      </c>
      <c r="S27" s="301">
        <v>20</v>
      </c>
      <c r="T27" s="301">
        <v>25</v>
      </c>
      <c r="U27" s="301">
        <v>30</v>
      </c>
      <c r="V27" s="302"/>
      <c r="W27" s="129"/>
      <c r="X27" s="141" t="s">
        <v>91</v>
      </c>
      <c r="Y27" s="142">
        <f>IF(AH30="○",$R$40,IF(AND(AH31="○",$K$30="○"),$R$44,0))</f>
        <v>1.65</v>
      </c>
      <c r="Z27" s="534">
        <f>IF(AB27=0,0,$F$16)</f>
        <v>0</v>
      </c>
      <c r="AA27" s="535"/>
      <c r="AB27" s="143">
        <f>IF(AH26="○",0,IF(AH27="○",IF($F$22&lt;12*$R$27,INT($F$22/12-AB26),$R$27-AB26),IF(AH29="○",IF($F$22&lt;12*$R$35,INT($F$22/12-AB26),$R$35-AB26),IF(AH30="○",IF($F$22&lt;12*$R$39,INT($F$22/12-$E$26),$R$39-AB26),0))))</f>
        <v>0</v>
      </c>
      <c r="AC27" s="144">
        <f t="shared" ref="AC27:AC31" si="4">Y27*AB27</f>
        <v>0</v>
      </c>
      <c r="AD27" s="536">
        <f t="shared" ref="AD27:AD31" si="5">INT(Z27*AC27)</f>
        <v>0</v>
      </c>
      <c r="AE27" s="537"/>
      <c r="AF27" s="138"/>
      <c r="AG27" s="145" t="s">
        <v>92</v>
      </c>
      <c r="AH27" s="146" t="str">
        <f>IF(OR(AND(OR($C$13="自己都合",$C$13="業務外傷病",$C$13="業務外死亡（15年未満）"),AND($F$22&gt;=12,$F$22&lt;540)),AND(OR($C$13="業務外傷病",$C$13="業務外死亡（15年未満）"),AND($F$22&gt;=6,$F$22&lt;12))),"○","")</f>
        <v/>
      </c>
      <c r="AI27" s="145" t="s">
        <v>93</v>
      </c>
      <c r="AJ27" s="146" t="str">
        <f>IF(AND(OR($C$13="業務外傷病",$C$13="業務外死亡（15年未満）"),AND($F$22&gt;=432,$F$22&lt;444)),"○","")</f>
        <v/>
      </c>
      <c r="AK27" s="128"/>
      <c r="AL27" s="198" t="s">
        <v>6</v>
      </c>
      <c r="AM27" s="199"/>
      <c r="AN27" s="400"/>
      <c r="AO27" s="401"/>
      <c r="AP27" s="200">
        <f>IF(AV26="○",0,IF(AV27="○",IF($F$22&lt;12*$R$27,INT($F$22/12-AP26),$R$27-AP26),IF(AV29="○",IF($F$22&lt;12*$R$35,INT($F$22/12-AP26),$R$35-AP26),IF(AV30="○",IF($F$22&lt;12*$R$39,INT($F$22/12-$E$26),$R$39-AP26),0))))</f>
        <v>0</v>
      </c>
      <c r="AQ27" s="201">
        <f t="shared" ref="AQ27:AQ31" si="6">AM27*AP27</f>
        <v>0</v>
      </c>
      <c r="AR27" s="420">
        <f t="shared" ref="AR27:AR31" si="7">INT(AN27*AQ27)</f>
        <v>0</v>
      </c>
      <c r="AS27" s="421"/>
      <c r="AT27" s="195"/>
      <c r="AU27" s="202" t="s">
        <v>31</v>
      </c>
      <c r="AV27" s="203" t="str">
        <f>IF(OR(AND(OR($C$13="自己都合",$C$13="業務外傷病",$C$13="業務外死亡（15年未満）"),AND($F$22&gt;=12,$F$22&lt;540)),AND(OR($C$13="業務外傷病",$C$13="業務外死亡（15年未満）"),AND($F$22&gt;=6,$F$22&lt;12))),"○","")</f>
        <v/>
      </c>
      <c r="AW27" s="202" t="s">
        <v>39</v>
      </c>
      <c r="AX27" s="203" t="str">
        <f>IF(AND(OR($C$13="業務外傷病",$C$13="業務外死亡（15年未満）"),AND($F$22&gt;=432,$F$22&lt;444)),"○","")</f>
        <v/>
      </c>
      <c r="AY27" s="128"/>
      <c r="AZ27" s="128"/>
      <c r="BA27" s="128"/>
      <c r="BB27" s="128"/>
      <c r="BC27" s="128"/>
      <c r="BD27" s="128"/>
      <c r="BE27" s="128"/>
      <c r="BF27" s="128"/>
      <c r="BG27" s="128"/>
    </row>
    <row r="28" spans="1:59" ht="12" customHeight="1">
      <c r="A28" s="9" t="s">
        <v>7</v>
      </c>
      <c r="B28" s="11">
        <f>IF(E28=0,0,IF(AND(K27="○",K28="○"),$S$28*$U$32,IF(K27="○",$S$28,IF(K29="○",$S$36,IF(K30="○",$S$40,IF(AND(K31="○",K30="○"),$S$44,0))))))</f>
        <v>0</v>
      </c>
      <c r="C28" s="384">
        <f>IF(E28=0,0,$F$16)</f>
        <v>0</v>
      </c>
      <c r="D28" s="385"/>
      <c r="E28" s="12">
        <f>IF(K26="○",0,IF(K27="○",IF($F$22&lt;12*$S$27,INT($F$22/12-(E27+E26)),$S$27-(E27+E26)),IF(K29="○",IF($F$22&lt;12*$S$35,INT($F$22/12-(E27+E26)),$S$35-(E27+E26)),IF(K30="○",IF($F$22&lt;12*$S$39,INT($F$22/12-(E27+E26)),$S$39-(E27+E26)),0))))</f>
        <v>0</v>
      </c>
      <c r="F28" s="10">
        <f t="shared" si="2"/>
        <v>0</v>
      </c>
      <c r="G28" s="386">
        <f t="shared" si="3"/>
        <v>0</v>
      </c>
      <c r="H28" s="387"/>
      <c r="I28" s="8"/>
      <c r="J28" s="45" t="s">
        <v>32</v>
      </c>
      <c r="K28" s="46" t="str">
        <f>IF(AND(OR($C$13="自己都合",$C$13="定年（15年未満）※自己都合退職扱い",$C$13="勧奨（15年未満）※自己都合退職扱い"),AND($F$22&gt;=12,$F$22&lt;240)),"○","")</f>
        <v/>
      </c>
      <c r="L28" s="45" t="s">
        <v>40</v>
      </c>
      <c r="M28" s="46" t="str">
        <f>IF(AND(OR($C$13="整理",$C$13="業務上傷病",$C$13="業務上死亡",$C$13="定年（25年以上）",$C$13="勧奨（25年以上）",$C$13="業務外死亡（25年以上）",$C$13="業務外傷病　※定年退職扱い"),$F$22&gt;=432),"○","")</f>
        <v/>
      </c>
      <c r="N28" s="60"/>
      <c r="O28" s="371"/>
      <c r="P28" s="297" t="s">
        <v>61</v>
      </c>
      <c r="Q28" s="303">
        <v>1</v>
      </c>
      <c r="R28" s="303">
        <v>1.1000000000000001</v>
      </c>
      <c r="S28" s="303">
        <v>1.6</v>
      </c>
      <c r="T28" s="303">
        <v>2</v>
      </c>
      <c r="U28" s="303">
        <v>1.6</v>
      </c>
      <c r="V28" s="303">
        <v>1.2</v>
      </c>
      <c r="W28" s="129"/>
      <c r="X28" s="141" t="s">
        <v>94</v>
      </c>
      <c r="Y28" s="147">
        <f>IF(AH30="○",$S$40,IF(AND(AH31="○",AH30="○"),$S$44,0))</f>
        <v>1.8</v>
      </c>
      <c r="Z28" s="534">
        <f>IF(AB28=0,0,$F$16)</f>
        <v>0</v>
      </c>
      <c r="AA28" s="535"/>
      <c r="AB28" s="143">
        <f>IF(AH26="○",0,IF(AH27="○",IF($F$22&lt;12*$S$27,INT($F$22/12-(AB27+AB26)),$S$27-(AB27+AB26)),IF(AH29="○",IF($F$22&lt;12*$S$35,INT($F$22/12-(AB27+AB26)),$S$35-(AB27+AB26)),IF(AH30="○",IF($F$22&lt;12*$S$39,INT($F$22/12-(AB27+AB26)),$S$39-(AB27+AB26)),0))))</f>
        <v>0</v>
      </c>
      <c r="AC28" s="144">
        <f t="shared" si="4"/>
        <v>0</v>
      </c>
      <c r="AD28" s="536">
        <f t="shared" si="5"/>
        <v>0</v>
      </c>
      <c r="AE28" s="537"/>
      <c r="AF28" s="138"/>
      <c r="AG28" s="145" t="s">
        <v>95</v>
      </c>
      <c r="AH28" s="146" t="str">
        <f>IF(AND($C$13="自己都合",AND($F$22&gt;=12,$F$22&lt;240)),"○","")</f>
        <v/>
      </c>
      <c r="AI28" s="145" t="s">
        <v>96</v>
      </c>
      <c r="AJ28" s="146" t="str">
        <f>IF(AND(OR($C$13="整理",$C$13="業務上傷病",$C$13="業務上死亡",$C$13="定年（25年以上）",$C$13="勧奨（25年以上）",$C$13="業務外死亡（25年以上）"),$F$22&gt;=432),"○","")</f>
        <v/>
      </c>
      <c r="AK28" s="128"/>
      <c r="AL28" s="198" t="s">
        <v>7</v>
      </c>
      <c r="AM28" s="204"/>
      <c r="AN28" s="400"/>
      <c r="AO28" s="401"/>
      <c r="AP28" s="200">
        <f>IF(AV26="○",0,IF(AV27="○",IF($F$22&lt;12*$S$27,INT($F$22/12-(AP27+AP26)),$S$27-(AP27+AP26)),IF(AV29="○",IF($F$22&lt;12*$S$35,INT($F$22/12-(AP27+AP26)),$S$35-(AP27+AP26)),IF(AV30="○",IF($F$22&lt;12*$S$39,INT($F$22/12-(AP27+AP26)),$S$39-(AP27+AP26)),0))))</f>
        <v>-1</v>
      </c>
      <c r="AQ28" s="201">
        <f t="shared" si="6"/>
        <v>0</v>
      </c>
      <c r="AR28" s="420">
        <f t="shared" si="7"/>
        <v>0</v>
      </c>
      <c r="AS28" s="421"/>
      <c r="AT28" s="195"/>
      <c r="AU28" s="202" t="s">
        <v>32</v>
      </c>
      <c r="AV28" s="203" t="str">
        <f>IF(AND($C$13="自己都合",AND($F$22&gt;=12,$F$22&lt;240)),"○","")</f>
        <v/>
      </c>
      <c r="AW28" s="202" t="s">
        <v>40</v>
      </c>
      <c r="AX28" s="203" t="str">
        <f>IF(AND(OR($C$13="整理",$C$13="業務上傷病",$C$13="業務上死亡",$C$13="定年（25年以上）",$C$13="勧奨（25年以上）",$C$13="業務外死亡（25年以上）"),$F$22&gt;=432),"○","")</f>
        <v/>
      </c>
      <c r="AY28" s="128"/>
      <c r="AZ28" s="128"/>
      <c r="BA28" s="128"/>
      <c r="BB28" s="128"/>
      <c r="BC28" s="128"/>
      <c r="BD28" s="128"/>
      <c r="BE28" s="128"/>
      <c r="BF28" s="128"/>
      <c r="BG28" s="128"/>
    </row>
    <row r="29" spans="1:59" ht="12" customHeight="1">
      <c r="A29" s="9" t="s">
        <v>8</v>
      </c>
      <c r="B29" s="11">
        <f>IF(E29=0,0,IF(AND(K27="○",K28="○"),$T$28*$U$32,IF(K27="○",$T$28,IF(K29="○",$T$36,IF(K30="○",$T$40,IF(AND(K31="○",K30="○"),$T$44,0))))))</f>
        <v>0</v>
      </c>
      <c r="C29" s="384">
        <f>IF(E29=0,0,$F$16)</f>
        <v>0</v>
      </c>
      <c r="D29" s="385"/>
      <c r="E29" s="12">
        <f>IF(K26="○",0,IF(K27="○",IF($F$22&lt;12*$T$27,INT($F$22/12-(E28+E27+E26)),$T$27-(E28+E27+E26)),IF(K29="○",IF($F$22&lt;12*$S$35,INT($F$22/12-(E28+E27+E26)),$S$35-(E28+E27+E26)),IF(K30="○",IF($F$22&gt;=12*$T$38,$T$38-(E28+E27+E26),INT($F$22/12-(E28+E27+E26))),0))))</f>
        <v>0</v>
      </c>
      <c r="F29" s="10">
        <f t="shared" si="2"/>
        <v>0</v>
      </c>
      <c r="G29" s="386">
        <f t="shared" si="3"/>
        <v>0</v>
      </c>
      <c r="H29" s="387"/>
      <c r="I29" s="8"/>
      <c r="J29" s="45" t="s">
        <v>33</v>
      </c>
      <c r="K29" s="46" t="str">
        <f>IF(K42="○","○",IF(AND(OR($C$13="定年(15年以上25年未満）",$C$13="勧奨（15年以上25年未満）",$C$13="業務外死亡（15年以上25年未満）",$C$13="業務外傷病　※定年退職扱い"),AND($F$22&gt;=180,$F$22&lt;300),$G$22&lt;300),"○",""))</f>
        <v/>
      </c>
      <c r="L29" s="45" t="s">
        <v>41</v>
      </c>
      <c r="M29" s="46" t="str">
        <f>IF(AND(OR($C$13="自己都合",$C$13="業務外傷病",$C$13="業務外死亡（15年未満）"),$G$22&gt;=540),"○","")</f>
        <v/>
      </c>
      <c r="N29" s="26"/>
      <c r="O29" s="65"/>
      <c r="P29" s="65"/>
      <c r="Q29" s="65"/>
      <c r="R29" s="65"/>
      <c r="S29" s="65"/>
      <c r="T29" s="65"/>
      <c r="U29" s="65"/>
      <c r="V29" s="65"/>
      <c r="W29" s="129"/>
      <c r="X29" s="141" t="s">
        <v>97</v>
      </c>
      <c r="Y29" s="147">
        <f>IF(AB29=0,0,IF(AND(AH27="○",AH28="○"),$T$28*$U$32,IF(AH27="○",$T$28,IF(AH29="○",$T$36,IF(AH30="○",$T$40,IF(AND(AH31="○",AH30="○"),$T$44,0))))))</f>
        <v>0</v>
      </c>
      <c r="Z29" s="534">
        <f>IF(AB29=0,0,$F$16)</f>
        <v>0</v>
      </c>
      <c r="AA29" s="535"/>
      <c r="AB29" s="143">
        <f>IF(AH26="○",0,IF(AH27="○",IF($F$22&lt;12*$T$27,INT($F$22/12-(AB28+AB27+AB26)),$T$27-(AB28+AB27+AB26)),IF(AH29="○",IF($F$22&lt;12*$S$35,INT($F$22/12-(AB28+AB27+AB26)),$S$35-(AB28+AB27+AB26)),IF(AH30="○",IF($F$22&gt;=12*$T$38,$T$38-(AB28+AB27+AB26),INT($F$22/12-(AB28+AB27+AB26))),0))))</f>
        <v>0</v>
      </c>
      <c r="AC29" s="144">
        <f t="shared" si="4"/>
        <v>0</v>
      </c>
      <c r="AD29" s="536">
        <f t="shared" si="5"/>
        <v>0</v>
      </c>
      <c r="AE29" s="537"/>
      <c r="AF29" s="138"/>
      <c r="AG29" s="145" t="s">
        <v>98</v>
      </c>
      <c r="AH29" s="146" t="str">
        <f>IF(AH42="○","○",IF(AND(OR($C$13="定年(15年以上25年未満）",Z13="勧奨（15年以上25年未満）",Z13="業務外死亡（15年以上25年未満）"),AND($F$22&gt;=180,$F$22&lt;300)),"○",""))</f>
        <v/>
      </c>
      <c r="AI29" s="145" t="s">
        <v>99</v>
      </c>
      <c r="AJ29" s="146" t="str">
        <f>IF(AND(OR($C$13="自己都合",$C$13="業務外傷病",$C$13="業務外死亡（15年未満）"),$G$22&gt;=540),"○","")</f>
        <v/>
      </c>
      <c r="AK29" s="128"/>
      <c r="AL29" s="198" t="s">
        <v>8</v>
      </c>
      <c r="AM29" s="204"/>
      <c r="AN29" s="400"/>
      <c r="AO29" s="401"/>
      <c r="AP29" s="200">
        <f>IF(AV26="○",0,IF(AV27="○",IF($F$22&lt;12*$T$27,INT($F$22/12-(AP28+AP27+AP26)),$T$27-(AP28+AP27+AP26)),IF(AV29="○",IF($F$22&lt;12*$S$35,INT($F$22/12-(AP28+AP27+AP26)),$S$35-(AP28+AP27+AP26)),IF(AV30="○",IF($F$22&gt;=12*$T$38,$T$38-(AP28+AP27+AP26),INT($F$22/12-(AP28+AP27+AP26))),0))))</f>
        <v>0</v>
      </c>
      <c r="AQ29" s="201">
        <f t="shared" si="6"/>
        <v>0</v>
      </c>
      <c r="AR29" s="420">
        <f t="shared" si="7"/>
        <v>0</v>
      </c>
      <c r="AS29" s="421"/>
      <c r="AT29" s="195"/>
      <c r="AU29" s="202" t="s">
        <v>33</v>
      </c>
      <c r="AV29" s="203" t="str">
        <f>IF(AV42="○","○",IF(AND(OR($C$13="定年(15年以上25年未満）",AN13="勧奨（15年以上25年未満）",AN13="業務外死亡（15年以上25年未満）"),AND($F$22&gt;=180,$F$22&lt;300)),"○",""))</f>
        <v/>
      </c>
      <c r="AW29" s="202" t="s">
        <v>41</v>
      </c>
      <c r="AX29" s="203" t="str">
        <f>IF(AND(OR($C$13="自己都合",$C$13="業務外傷病",$C$13="業務外死亡（15年未満）"),$G$22&gt;=540),"○","")</f>
        <v/>
      </c>
      <c r="AY29" s="128"/>
      <c r="AZ29" s="128"/>
      <c r="BA29" s="128"/>
      <c r="BB29" s="128"/>
      <c r="BC29" s="128"/>
      <c r="BD29" s="128"/>
      <c r="BE29" s="128"/>
      <c r="BF29" s="128"/>
      <c r="BG29" s="128"/>
    </row>
    <row r="30" spans="1:59" ht="12" customHeight="1">
      <c r="A30" s="28" t="s">
        <v>45</v>
      </c>
      <c r="B30" s="82">
        <f>IF(E30=0,0,IF(AND(K27="○",K28="○"),$U$28*$U$32,IF(K27="○",$U$28,IF(K29="○",$U$36,IF(K30="○",$U$40,IF(AND(K31="○",K30="○"),$U$44,0))))))</f>
        <v>0</v>
      </c>
      <c r="C30" s="384">
        <f>IF(E30=0,0,$F$16)</f>
        <v>0</v>
      </c>
      <c r="D30" s="385"/>
      <c r="E30" s="12">
        <f>IF(K26="○",0,IF(K27="○",IF($F$22&lt;12*$U$27,INT($F$22/12-(E29+E28+E27+E26)),$U$27-(E29+E28+E27+E26)),IF(K29="○",IF($F$22&lt;12*$S$35,INT($F$22/12-(E29+E28+E27+E26)),$S$35-(E29+E28+E27+E26)),IF(K30="○",IF($F$22&lt;12*$T$38,INT($F$22/12-(E29+E28+E27+E26)),$T$38-(E29+E28+E27+E26)),0))))</f>
        <v>0</v>
      </c>
      <c r="F30" s="10">
        <f t="shared" si="2"/>
        <v>0</v>
      </c>
      <c r="G30" s="386">
        <f t="shared" si="3"/>
        <v>0</v>
      </c>
      <c r="H30" s="387"/>
      <c r="I30" s="8"/>
      <c r="J30" s="45" t="s">
        <v>34</v>
      </c>
      <c r="K30" s="46" t="str">
        <f>IF(K43="○","○",IF(OR(AND(OR($C$13="定年（25年以上）",$C$13="勧奨（25年以上）",$C$13="業務外死亡（25年以上）",$C$13="業務外傷病　※定年退職扱い"),$F$22&gt;=300),AND(OR($C$13="自己都合",$C$13="業務外傷病",$C$13="業務外死亡（15年未満）"),$F$22&gt;=540),OR($C$13="整理",$C$13="業務上傷病",$C$13="業務上死亡")),"○",""))</f>
        <v/>
      </c>
      <c r="L30" s="47" t="s">
        <v>42</v>
      </c>
      <c r="M30" s="48" t="str">
        <f>IF($C$12="ピーク時特例方式",IF($I$11&gt;=$O$48,"○",""),IF($C$12&lt;&gt;"ピーク時特例方式",IF($I$11&gt;=$O$48,"○","")))</f>
        <v/>
      </c>
      <c r="N30" s="26"/>
      <c r="O30" s="369" t="s">
        <v>32</v>
      </c>
      <c r="P30" s="298" t="s">
        <v>58</v>
      </c>
      <c r="Q30" s="304">
        <v>1</v>
      </c>
      <c r="R30" s="304">
        <v>11</v>
      </c>
      <c r="S30" s="304">
        <v>16</v>
      </c>
      <c r="T30" s="65"/>
      <c r="U30" s="65"/>
      <c r="V30" s="65"/>
      <c r="W30" s="129"/>
      <c r="X30" s="148" t="s">
        <v>100</v>
      </c>
      <c r="Y30" s="149">
        <f>IF(AB30=0,0,IF(AND(AH27="○",AH28="○"),$U$28*$U$32,IF(AH27="○",$U$28,IF(AH29="○",$U$36,IF(AH30="○",$U$40,IF(AND(AH31="○",AH30="○"),$U$44,0))))))</f>
        <v>0</v>
      </c>
      <c r="Z30" s="534">
        <f>IF(AB30=0,0,$F$16)</f>
        <v>0</v>
      </c>
      <c r="AA30" s="535"/>
      <c r="AB30" s="143">
        <f>IF(AH26="○",0,IF(AH27="○",IF($F$22&lt;12*$U$27,INT($F$22/12-(AB29+AB28+AB27+AB26)),$U$27-(AB29+AB28+AB27+AB26)),IF(AH29="○",IF($F$22&lt;12*$S$35,INT($F$22/12-(AB29+AB28+AB27+AB26)),$S$35-(AB29+AB28+AB27+AB26)),IF(AH30="○",IF($F$22&lt;12*$T$38,INT($F$22/12-(AB29+AB28+AB27+AB26)),$T$38-(AB29+AB28+AB27+AB26)),0))))</f>
        <v>0</v>
      </c>
      <c r="AC30" s="144">
        <f t="shared" si="4"/>
        <v>0</v>
      </c>
      <c r="AD30" s="536">
        <f t="shared" si="5"/>
        <v>0</v>
      </c>
      <c r="AE30" s="537"/>
      <c r="AF30" s="138"/>
      <c r="AG30" s="145" t="s">
        <v>101</v>
      </c>
      <c r="AH30" s="146" t="s">
        <v>81</v>
      </c>
      <c r="AI30" s="145" t="s">
        <v>102</v>
      </c>
      <c r="AJ30" s="146" t="str">
        <f>IF($C$12="ピーク時特例方式",IF($I$11&gt;=$O$48,"○",""),IF($C$12&lt;&gt;"ピーク時特例方式",IF($I$11&gt;=$O$48,"○","")))</f>
        <v/>
      </c>
      <c r="AK30" s="128"/>
      <c r="AL30" s="205" t="s">
        <v>45</v>
      </c>
      <c r="AM30" s="206"/>
      <c r="AN30" s="400"/>
      <c r="AO30" s="401"/>
      <c r="AP30" s="200">
        <f>IF(AV26="○",0,IF(AV27="○",IF($F$22&lt;12*$U$27,INT($F$22/12-(AP29+AP28+AP27+AP26)),$U$27-(AP29+AP28+AP27+AP26)),IF(AV29="○",IF($F$22&lt;12*$S$35,INT($F$22/12-(AP29+AP28+AP27+AP26)),$S$35-(AP29+AP28+AP27+AP26)),IF(AV30="○",IF($F$22&lt;12*$T$38,INT($F$22/12-(AP29+AP28+AP27+AP26)),$T$38-(AP29+AP28+AP27+AP26)),0))))</f>
        <v>0</v>
      </c>
      <c r="AQ30" s="201">
        <f t="shared" si="6"/>
        <v>0</v>
      </c>
      <c r="AR30" s="420">
        <f t="shared" si="7"/>
        <v>0</v>
      </c>
      <c r="AS30" s="421"/>
      <c r="AT30" s="195"/>
      <c r="AU30" s="202" t="s">
        <v>34</v>
      </c>
      <c r="AV30" s="203" t="s">
        <v>81</v>
      </c>
      <c r="AW30" s="202" t="s">
        <v>42</v>
      </c>
      <c r="AX30" s="203" t="str">
        <f>IF($C$12="ピーク時特例方式",IF($I$11&gt;=$O$48,"○",""),IF($C$12&lt;&gt;"ピーク時特例方式",IF($I$11&gt;=$O$48,"○","")))</f>
        <v/>
      </c>
      <c r="AY30" s="128"/>
      <c r="AZ30" s="128"/>
      <c r="BA30" s="128"/>
      <c r="BB30" s="128"/>
      <c r="BC30" s="128"/>
      <c r="BD30" s="128"/>
      <c r="BE30" s="128"/>
      <c r="BF30" s="128"/>
      <c r="BG30" s="128"/>
    </row>
    <row r="31" spans="1:59" ht="12" customHeight="1">
      <c r="A31" s="13" t="s">
        <v>46</v>
      </c>
      <c r="B31" s="14">
        <f>IF(E31=0,0,IF(AND(K27="○",K28="○"),$V$28*$U$32,IF(K27="○",$V$28,IF(K29="○",$V$36,IF(K30="○",$V$40,IF(AND(K31="○",K30="○"),$V$44,0))))))</f>
        <v>0</v>
      </c>
      <c r="C31" s="384">
        <f>IF(E31=0,0,$F$16)</f>
        <v>0</v>
      </c>
      <c r="D31" s="385"/>
      <c r="E31" s="84">
        <f>IF(M27="○",5,IF(K26="○",0,IF(K27="○",IF($F$22&gt;=12*$V$26,INT($F$22/12-(E30+E29+E28+E27+E26)),INT($F$22/12-(E30+E29+E28+E27+E26))),IF(K29="○",IF($F$22&lt;12*$S$35,INT($F$22/12-(E30+E29+E28+E27+E26)),$S$35-(E30+E29+E28+E27+E26)),IF(K30="○",IF($F$22&gt;=12*$T$38,$T$38-(E30+E29+E28+E27+E26),INT($F$22/12-(E30+E29+E28+E27+E26))),0)))))</f>
        <v>0</v>
      </c>
      <c r="F31" s="15">
        <f t="shared" si="2"/>
        <v>0</v>
      </c>
      <c r="G31" s="486">
        <f t="shared" si="3"/>
        <v>0</v>
      </c>
      <c r="H31" s="487"/>
      <c r="I31" s="8"/>
      <c r="J31" s="285" t="s">
        <v>35</v>
      </c>
      <c r="K31" s="286" t="str">
        <f>IF(AND(OR($C$13="整理",$C$13="業務上傷病",$C$13="業務上死亡"),OR($AG$32&gt;$AD$35,$AH$35="○")),"○","")</f>
        <v/>
      </c>
      <c r="L31" s="288" t="s">
        <v>140</v>
      </c>
      <c r="M31" s="287" t="str">
        <f>IF($C$12=$R$88,"○","")</f>
        <v/>
      </c>
      <c r="N31" s="26"/>
      <c r="O31" s="370"/>
      <c r="P31" s="300" t="s">
        <v>60</v>
      </c>
      <c r="Q31" s="305">
        <v>10</v>
      </c>
      <c r="R31" s="305">
        <v>15</v>
      </c>
      <c r="S31" s="305">
        <v>19</v>
      </c>
      <c r="T31" s="65"/>
      <c r="U31" s="65" t="str">
        <f>IF($C$12&lt;&gt;"ピーク時特例方式","適用する率（退職日まで期間)","適用する率（旧定年まで）")</f>
        <v>適用する率（退職日まで期間)</v>
      </c>
      <c r="V31" s="65" t="str">
        <f>IF($C$12&lt;&gt;"ピーク時特例方式","","適用する率（退職日まで）")</f>
        <v/>
      </c>
      <c r="W31" s="129"/>
      <c r="X31" s="150" t="s">
        <v>103</v>
      </c>
      <c r="Y31" s="151">
        <f>IF(AB31=0,0,IF(AND(AH27="○",AH28="○"),$V$28*$U$32,IF(AH27="○",$V$28,IF(AH29="○",$V$36,IF(AH30="○",$V$40,IF(AND(AH31="○",AH30="○"),$V$44,0))))))</f>
        <v>0</v>
      </c>
      <c r="Z31" s="534">
        <f>IF(AB31=0,0,$F$16)</f>
        <v>0</v>
      </c>
      <c r="AA31" s="535"/>
      <c r="AB31" s="152">
        <f>IF(AJ27="○",5,IF(AH26="○",0,IF(AH27="○",IF($F$22&gt;=12*$V$26,INT($F$22/12-(AB30+AB29+AB28+AB27+AB26)),INT($F$22/12-(AB30+AB29+AB28+AB27+AB26))),IF(AH29="○",IF($F$22&lt;12*$S$35,INT($F$22/12-(AB30+AB29+AB28+AB27+AB26)),$S$35-(AB30+AB29+AB28+AB27+AB26)),IF(AH30="○",IF($F$22&gt;=12*$T$38,$T$38-(AB30+AB29+AB28+AB27+AB26),INT($F$22/12-(AB30+AB29+AB28+AB27+AB26))),0)))))</f>
        <v>0</v>
      </c>
      <c r="AC31" s="153">
        <f t="shared" si="4"/>
        <v>0</v>
      </c>
      <c r="AD31" s="539">
        <f t="shared" si="5"/>
        <v>0</v>
      </c>
      <c r="AE31" s="540"/>
      <c r="AF31" s="138"/>
      <c r="AG31" s="154" t="s">
        <v>104</v>
      </c>
      <c r="AH31" s="155"/>
      <c r="AI31" s="156"/>
      <c r="AJ31" s="157"/>
      <c r="AK31" s="128"/>
      <c r="AL31" s="207" t="s">
        <v>46</v>
      </c>
      <c r="AM31" s="208"/>
      <c r="AN31" s="400"/>
      <c r="AO31" s="401"/>
      <c r="AP31" s="209">
        <f>IF(AX27="○",5,IF(AV26="○",0,IF(AV27="○",IF($F$22&gt;=12*$V$26,INT($F$22/12-(AP30+AP29+AP28+AP27+AP26)),INT($F$22/12-(AP30+AP29+AP28+AP27+AP26))),IF(AV29="○",IF($F$22&lt;12*$S$35,INT($F$22/12-(AP30+AP29+AP28+AP27+AP26)),$S$35-(AP30+AP29+AP28+AP27+AP26)),IF(AV30="○",IF($F$22&gt;=12*$T$38,$T$38-(AP30+AP29+AP28+AP27+AP26),INT($F$22/12-(AP30+AP29+AP28+AP27+AP26))),0)))))</f>
        <v>0</v>
      </c>
      <c r="AQ31" s="210">
        <f t="shared" si="6"/>
        <v>0</v>
      </c>
      <c r="AR31" s="422">
        <f t="shared" si="7"/>
        <v>0</v>
      </c>
      <c r="AS31" s="423"/>
      <c r="AT31" s="195"/>
      <c r="AU31" s="211" t="s">
        <v>35</v>
      </c>
      <c r="AV31" s="212" t="s">
        <v>81</v>
      </c>
      <c r="AW31" s="288" t="s">
        <v>140</v>
      </c>
      <c r="AX31" s="287" t="str">
        <f>IF($C$12=$R$88,"○","")</f>
        <v/>
      </c>
      <c r="AY31" s="128"/>
      <c r="AZ31" s="128"/>
      <c r="BA31" s="128"/>
      <c r="BB31" s="128"/>
      <c r="BC31" s="128"/>
      <c r="BD31" s="128"/>
      <c r="BE31" s="128"/>
      <c r="BF31" s="128"/>
      <c r="BG31" s="128"/>
    </row>
    <row r="32" spans="1:59" ht="12" customHeight="1">
      <c r="A32" s="469" t="s">
        <v>9</v>
      </c>
      <c r="B32" s="488"/>
      <c r="C32" s="488"/>
      <c r="D32" s="488"/>
      <c r="E32" s="74">
        <f>SUM(E26:E31)</f>
        <v>0</v>
      </c>
      <c r="F32" s="75">
        <f>SUM(F26:F31)</f>
        <v>0</v>
      </c>
      <c r="G32" s="489">
        <f>SUM(G26:H31)</f>
        <v>0</v>
      </c>
      <c r="H32" s="490"/>
      <c r="I32" s="8"/>
      <c r="J32" s="47" t="s">
        <v>133</v>
      </c>
      <c r="K32" s="48" t="str">
        <f>IF($C$13="懲戒免職","○","")</f>
        <v/>
      </c>
      <c r="L32" s="289" t="s">
        <v>141</v>
      </c>
      <c r="M32" s="48" t="str">
        <f>IF($C$12=$R$89,"○","")</f>
        <v/>
      </c>
      <c r="O32" s="371"/>
      <c r="P32" s="297" t="s">
        <v>61</v>
      </c>
      <c r="Q32" s="303">
        <v>0.6</v>
      </c>
      <c r="R32" s="303">
        <v>0.8</v>
      </c>
      <c r="S32" s="303">
        <v>0.9</v>
      </c>
      <c r="T32" s="65"/>
      <c r="U32" s="65">
        <f>IF($K$28="○",IF(AND($F$22&gt;=$Q$30*12,$F$22&lt;$R$30*12),$Q$32,IF(AND($F$22&gt;=$R$30*12,$F$22&lt;$S$30*12),$R$32,IF(AND($F$22&gt;=$S$30*12,$F$22&lt;$S$31*13),$S$32))),1)</f>
        <v>1</v>
      </c>
      <c r="V32" s="65">
        <f>IF($K$41="○",IF(AND($G$22&gt;=$Q$30*12,$G$22&lt;$R$30*12),$Q$32,IF(AND($G$22&gt;=$R$30*12,$G$22&lt;$S$30*12),$R$32,IF(AND($G$22&gt;=$S$30*12,$G$22&lt;$S$31*13),$S$32))),1)</f>
        <v>1</v>
      </c>
      <c r="W32" s="129"/>
      <c r="X32" s="372" t="s">
        <v>105</v>
      </c>
      <c r="Y32" s="541"/>
      <c r="Z32" s="541"/>
      <c r="AA32" s="541"/>
      <c r="AB32" s="158">
        <f>SUM(AB26:AB31)</f>
        <v>0</v>
      </c>
      <c r="AC32" s="159">
        <f>SUM(AC26:AC31)</f>
        <v>0</v>
      </c>
      <c r="AD32" s="542">
        <f>SUM(AD26:AE31)</f>
        <v>0</v>
      </c>
      <c r="AE32" s="543"/>
      <c r="AF32" s="138"/>
      <c r="AG32" s="131">
        <f>INT(IF($F$22&lt;Q43*12,Q44*($F$16+$F$19)*AA34*AA33,IF(AND($F$22&gt;=R42*12,$F$22&lt;R43*12),R44*($F$16+$F$19)*AA34*AA33,IF(AND($F$22&gt;=S42*12,$F$22&lt;S43*12),S44*($F$16+$F$19)*AA34*AA33,IF($F$22&gt;=T42*12,T44*($F$16+$F$19)*AA34*AA33)))))</f>
        <v>0</v>
      </c>
      <c r="AH32" s="98"/>
      <c r="AI32" s="98"/>
      <c r="AJ32" s="98"/>
      <c r="AK32" s="128"/>
      <c r="AL32" s="424" t="s">
        <v>9</v>
      </c>
      <c r="AM32" s="425"/>
      <c r="AN32" s="425"/>
      <c r="AO32" s="425"/>
      <c r="AP32" s="213">
        <f>SUM(AP26:AP31)</f>
        <v>0</v>
      </c>
      <c r="AQ32" s="214">
        <f>SUM(AQ26:AQ31)</f>
        <v>2.7</v>
      </c>
      <c r="AR32" s="426">
        <f>SUM(AR26:AS31)</f>
        <v>0</v>
      </c>
      <c r="AS32" s="427"/>
      <c r="AT32" s="195"/>
      <c r="AU32" s="47" t="s">
        <v>133</v>
      </c>
      <c r="AV32" s="48" t="str">
        <f>IF(AN14="懲戒免職","○","")</f>
        <v/>
      </c>
      <c r="AW32" s="289" t="s">
        <v>141</v>
      </c>
      <c r="AX32" s="48" t="str">
        <f>IF($C$12=$R$89,"○","")</f>
        <v/>
      </c>
      <c r="AY32" s="128"/>
      <c r="AZ32" s="128"/>
      <c r="BA32" s="128"/>
      <c r="BB32" s="128"/>
      <c r="BC32" s="128"/>
      <c r="BD32" s="128"/>
      <c r="BE32" s="128"/>
      <c r="BF32" s="128"/>
      <c r="BG32" s="128"/>
    </row>
    <row r="33" spans="1:59" ht="12" customHeight="1">
      <c r="A33" s="495" t="s">
        <v>10</v>
      </c>
      <c r="B33" s="497" t="s">
        <v>52</v>
      </c>
      <c r="C33" s="498"/>
      <c r="D33" s="85">
        <f>IF(M26="○",1.04,1)</f>
        <v>1</v>
      </c>
      <c r="E33" s="76"/>
      <c r="F33" s="127">
        <f>F32*D33</f>
        <v>0</v>
      </c>
      <c r="G33" s="4"/>
      <c r="H33" s="16"/>
      <c r="I33" s="17"/>
      <c r="O33" s="65"/>
      <c r="P33" s="65"/>
      <c r="Q33" s="65"/>
      <c r="R33" s="65"/>
      <c r="S33" s="65"/>
      <c r="T33" s="65"/>
      <c r="U33" s="65"/>
      <c r="V33" s="65"/>
      <c r="W33" s="129"/>
      <c r="X33" s="374" t="s">
        <v>106</v>
      </c>
      <c r="Y33" s="376" t="s">
        <v>107</v>
      </c>
      <c r="Z33" s="377"/>
      <c r="AA33" s="160">
        <f>IF(AJ26="○",1.04,1)</f>
        <v>1</v>
      </c>
      <c r="AB33" s="161"/>
      <c r="AC33" s="162">
        <f>AC32*AA33</f>
        <v>0</v>
      </c>
      <c r="AD33" s="163"/>
      <c r="AE33" s="162"/>
      <c r="AF33" s="164"/>
      <c r="AG33" s="98"/>
      <c r="AH33" s="98"/>
      <c r="AI33" s="98"/>
      <c r="AJ33" s="98"/>
      <c r="AK33" s="128"/>
      <c r="AL33" s="394" t="s">
        <v>10</v>
      </c>
      <c r="AM33" s="396" t="s">
        <v>52</v>
      </c>
      <c r="AN33" s="397"/>
      <c r="AO33" s="216">
        <f>IF(AX26="○",1.04,1)</f>
        <v>1</v>
      </c>
      <c r="AP33" s="217"/>
      <c r="AQ33" s="218">
        <f>AQ32*AO33</f>
        <v>2.7</v>
      </c>
      <c r="AR33" s="219"/>
      <c r="AS33" s="220"/>
      <c r="AT33" s="221"/>
      <c r="AY33" s="128"/>
      <c r="AZ33" s="128"/>
      <c r="BA33" s="128"/>
      <c r="BB33" s="128"/>
      <c r="BC33" s="128"/>
      <c r="BD33" s="128"/>
      <c r="BE33" s="128"/>
      <c r="BF33" s="128"/>
      <c r="BG33" s="128"/>
    </row>
    <row r="34" spans="1:59" ht="12" customHeight="1" thickBot="1">
      <c r="A34" s="496"/>
      <c r="B34" s="499" t="s">
        <v>53</v>
      </c>
      <c r="C34" s="500"/>
      <c r="D34" s="86">
        <f>IF(AND($I$11&gt;=$O$48,$I$11&lt;=$R$48),$T$48,IF(AND($I$11&gt;=$O$49,$I$11&lt;=$R$49),$T$49,IF(AND($I$11&gt;=$O$51,$I$11&lt;=$R$51),$T$51,IF(AND($I$11&gt;=$O$52,$I$11&lt;=$R$52),$T$52,IF($I$11&gt;=$O$53,$T$53,1)))))</f>
        <v>1</v>
      </c>
      <c r="E34" s="77"/>
      <c r="F34" s="78"/>
      <c r="H34" s="17"/>
      <c r="I34" s="17"/>
      <c r="O34" s="492" t="s">
        <v>33</v>
      </c>
      <c r="P34" s="298" t="s">
        <v>58</v>
      </c>
      <c r="Q34" s="304">
        <v>1</v>
      </c>
      <c r="R34" s="304">
        <v>11</v>
      </c>
      <c r="S34" s="304">
        <v>16</v>
      </c>
      <c r="T34" s="65"/>
      <c r="U34" s="65"/>
      <c r="V34" s="65"/>
      <c r="W34" s="129"/>
      <c r="X34" s="375"/>
      <c r="Y34" s="378" t="s">
        <v>108</v>
      </c>
      <c r="Z34" s="379"/>
      <c r="AA34" s="165">
        <f>IF(AND($I$11&gt;=$O$48,$I$11&lt;=$R$48),$T$48,IF(AND($I$11&gt;=$O$49,$I$11&lt;=$R$49),$T$49,IF(AND($I$11&gt;=$O$51,$I$11&lt;=$R$51),$T$51,IF(AND($I$11&gt;=$O$52,$I$11&lt;=$R$52),$T$52,IF($I$11&gt;=$O$53,$T$53,1)))))</f>
        <v>1</v>
      </c>
      <c r="AB34" s="166"/>
      <c r="AC34" s="167"/>
      <c r="AD34" s="98"/>
      <c r="AE34" s="164"/>
      <c r="AF34" s="164"/>
      <c r="AG34" s="98" t="s">
        <v>113</v>
      </c>
      <c r="AH34" s="262"/>
      <c r="AI34" s="185">
        <f>AD35</f>
        <v>0</v>
      </c>
      <c r="AJ34" s="186" t="str">
        <f>IF(AI34&gt;AK34,"&gt;",IF(AI34&lt;AK34,"&lt;","="))</f>
        <v>=</v>
      </c>
      <c r="AK34" s="261">
        <f>AR35</f>
        <v>0</v>
      </c>
      <c r="AL34" s="395"/>
      <c r="AM34" s="398" t="s">
        <v>53</v>
      </c>
      <c r="AN34" s="399"/>
      <c r="AO34" s="222">
        <f>IF(AND($I$11&gt;=$O$48,$I$11&lt;=$R$48),$T$48,IF(AND($I$11&gt;=$O$49,$I$11&lt;=$R$49),$T$49,IF(AND($I$11&gt;=$O$51,$I$11&lt;=$R$51),$T$51,IF(AND($I$11&gt;=$O$52,$I$11&lt;=$R$52),$T$52,IF($I$11&gt;=$O$53,$T$53,1)))))</f>
        <v>1</v>
      </c>
      <c r="AP34" s="223"/>
      <c r="AQ34" s="224"/>
      <c r="AR34" s="128"/>
      <c r="AS34" s="221"/>
      <c r="AT34" s="221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</row>
    <row r="35" spans="1:59" ht="12" customHeight="1" thickTop="1">
      <c r="A35" s="18" t="s">
        <v>11</v>
      </c>
      <c r="B35" s="18"/>
      <c r="C35" s="18"/>
      <c r="D35" s="18"/>
      <c r="E35" s="18"/>
      <c r="F35" s="107">
        <f>F32*D33*D34</f>
        <v>0</v>
      </c>
      <c r="G35" s="501">
        <f>INT(G32*D33*D34)</f>
        <v>0</v>
      </c>
      <c r="H35" s="502"/>
      <c r="I35" s="291" t="str">
        <f>IF(AND(K27="",K28="",K29="",K30=""),"（無給付）","")</f>
        <v>（無給付）</v>
      </c>
      <c r="O35" s="492"/>
      <c r="P35" s="300" t="s">
        <v>60</v>
      </c>
      <c r="Q35" s="305">
        <v>10</v>
      </c>
      <c r="R35" s="305">
        <v>15</v>
      </c>
      <c r="S35" s="305">
        <v>24</v>
      </c>
      <c r="T35" s="65"/>
      <c r="U35" s="65"/>
      <c r="V35" s="65"/>
      <c r="W35" s="129"/>
      <c r="X35" s="168" t="s">
        <v>109</v>
      </c>
      <c r="Y35" s="168"/>
      <c r="Z35" s="168"/>
      <c r="AA35" s="168"/>
      <c r="AB35" s="168"/>
      <c r="AC35" s="168">
        <f>AC32*AA33*AA34</f>
        <v>0</v>
      </c>
      <c r="AD35" s="380">
        <f>INT(AD32*AA33*AA34)</f>
        <v>0</v>
      </c>
      <c r="AE35" s="381"/>
      <c r="AF35" s="169"/>
      <c r="AG35" s="98" t="s">
        <v>35</v>
      </c>
      <c r="AH35" s="98" t="str">
        <f>IF(AR35&gt;AD35,"○","")</f>
        <v/>
      </c>
      <c r="AI35" s="98"/>
      <c r="AJ35" s="98"/>
      <c r="AK35" s="128"/>
      <c r="AL35" s="225" t="s">
        <v>11</v>
      </c>
      <c r="AM35" s="225"/>
      <c r="AN35" s="225"/>
      <c r="AO35" s="225"/>
      <c r="AP35" s="225"/>
      <c r="AQ35" s="226">
        <f>AQ32*AO33*AO34</f>
        <v>2.7</v>
      </c>
      <c r="AR35" s="418">
        <f>INT(AR32*AO33*AO34)</f>
        <v>0</v>
      </c>
      <c r="AS35" s="419"/>
      <c r="AT35" s="227" t="str">
        <f>IF(AND(AV27="",AV28="",AV29="",AV30=""),"（無給付）","")</f>
        <v/>
      </c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</row>
    <row r="36" spans="1:59" ht="12" customHeight="1">
      <c r="A36" s="19"/>
      <c r="B36" s="19"/>
      <c r="C36" s="19"/>
      <c r="D36" s="19"/>
      <c r="E36" s="19"/>
      <c r="F36" s="19"/>
      <c r="G36" s="19"/>
      <c r="H36" s="19"/>
      <c r="I36" s="19"/>
      <c r="O36" s="492"/>
      <c r="P36" s="297" t="s">
        <v>61</v>
      </c>
      <c r="Q36" s="303">
        <v>1.25</v>
      </c>
      <c r="R36" s="303">
        <v>1.375</v>
      </c>
      <c r="S36" s="303">
        <v>2</v>
      </c>
      <c r="T36" s="65"/>
      <c r="U36" s="65"/>
      <c r="V36" s="65"/>
      <c r="W36" s="129"/>
      <c r="X36" s="128"/>
      <c r="Y36" s="128"/>
      <c r="Z36" s="128"/>
      <c r="AA36" s="128"/>
      <c r="AB36" s="128"/>
      <c r="AC36" s="128"/>
      <c r="AD36" s="128"/>
      <c r="AE36" s="128"/>
      <c r="AF36" s="128"/>
      <c r="AG36" s="278" t="s">
        <v>119</v>
      </c>
      <c r="AH36" s="278"/>
      <c r="AI36" s="278" t="s">
        <v>120</v>
      </c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</row>
    <row r="37" spans="1:59">
      <c r="A37" s="3" t="str">
        <f>IF($C$12="ピーク時特例方式","　(2)加入～退職日まで（ピーク時特例方式を選択した場合のみ記入)","")</f>
        <v/>
      </c>
      <c r="B37" s="19"/>
      <c r="C37" s="19"/>
      <c r="D37" s="19"/>
      <c r="E37" s="19"/>
      <c r="F37" s="19"/>
      <c r="G37" s="19"/>
      <c r="H37" s="19"/>
      <c r="I37" s="19"/>
      <c r="J37" s="3" t="str">
        <f>IF(C12="ピーク時特例方式","規程等の適用","")</f>
        <v/>
      </c>
      <c r="O37" s="65"/>
      <c r="P37" s="65"/>
      <c r="Q37" s="65"/>
      <c r="R37" s="65"/>
      <c r="S37" s="65"/>
      <c r="T37" s="65"/>
      <c r="U37" s="65"/>
      <c r="V37" s="65"/>
      <c r="W37" s="129"/>
      <c r="X37" s="3" t="str">
        <f>IF(Z12="ピーク時特例方式","　(2)加入～退職日まで（ピーク時特例方式を選択した場合のみ記入)","")</f>
        <v/>
      </c>
      <c r="Y37" s="19"/>
      <c r="Z37" s="19"/>
      <c r="AA37" s="19"/>
      <c r="AB37" s="19"/>
      <c r="AC37" s="19"/>
      <c r="AD37" s="19"/>
      <c r="AE37" s="19"/>
      <c r="AF37" s="19"/>
      <c r="AG37" s="265">
        <f>IF(AD35&gt;AR35,INT(AD35),INT(AR35))</f>
        <v>0</v>
      </c>
      <c r="AI37">
        <f>IF(AD35&gt;AR35,AC35,AQ35)</f>
        <v>2.7</v>
      </c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</row>
    <row r="38" spans="1:59" ht="24.75" customHeight="1">
      <c r="A38" s="467" t="str">
        <f>IF($C$12="ピーク時特例方式","割　合","")</f>
        <v/>
      </c>
      <c r="B38" s="468"/>
      <c r="C38" s="469" t="str">
        <f>IF($C$12="ピーク時特例方式",IF($K$44="○","退職日の基準給　　　　　　　　＋扶養手当…⑬","退職日の基準給…⑬"),"")</f>
        <v/>
      </c>
      <c r="D38" s="470"/>
      <c r="E38" s="33" t="str">
        <f>IF($C$12="ピーク時特例方式","加入期間　　　（規程適用後）","")</f>
        <v/>
      </c>
      <c r="F38" s="170" t="str">
        <f>IF($C$12="ピーク時特例方式",IF(K44="","給付率
（割合×加入期間）","給付率"),"")</f>
        <v/>
      </c>
      <c r="J38" s="484" t="s">
        <v>51</v>
      </c>
      <c r="K38" s="485"/>
      <c r="L38" s="484" t="s">
        <v>37</v>
      </c>
      <c r="M38" s="485"/>
      <c r="N38" s="62"/>
      <c r="O38" s="492" t="s">
        <v>34</v>
      </c>
      <c r="P38" s="298" t="s">
        <v>58</v>
      </c>
      <c r="Q38" s="304">
        <v>1</v>
      </c>
      <c r="R38" s="304">
        <v>11</v>
      </c>
      <c r="S38" s="304">
        <v>26</v>
      </c>
      <c r="T38" s="304">
        <v>35</v>
      </c>
      <c r="U38" s="65"/>
      <c r="V38" s="65"/>
      <c r="W38" s="129"/>
      <c r="X38" s="3" t="str">
        <f>IF($C$12="ピーク時特例方式","　(2)加入～退職日まで（ピーク時特例方式を選択した場合のみ記入)","")</f>
        <v/>
      </c>
      <c r="Y38" s="19"/>
      <c r="Z38" s="19"/>
      <c r="AA38" s="19"/>
      <c r="AB38" s="19"/>
      <c r="AC38" s="19"/>
      <c r="AD38" s="19"/>
      <c r="AE38" s="19"/>
      <c r="AF38" s="19"/>
      <c r="AG38" s="3" t="str">
        <f>IF(C12="ピーク時特例方式","規程等の適用","")</f>
        <v/>
      </c>
      <c r="AK38" s="128"/>
      <c r="AL38" s="187" t="str">
        <f>IF($C$12="ピーク時特例方式","　(2)加入～退職日まで（ピーク時特例方式を選択した場合のみ記入)","")</f>
        <v/>
      </c>
      <c r="AM38" s="228"/>
      <c r="AN38" s="228"/>
      <c r="AO38" s="228"/>
      <c r="AP38" s="228"/>
      <c r="AQ38" s="228"/>
      <c r="AR38" s="228"/>
      <c r="AS38" s="228"/>
      <c r="AT38" s="228"/>
      <c r="AU38" s="187" t="str">
        <f>IF(AN13="ピーク時特例方式","規程等の適用","")</f>
        <v/>
      </c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</row>
    <row r="39" spans="1:59" ht="12" customHeight="1">
      <c r="A39" s="37" t="str">
        <f>IF($C$12="ピーク時特例方式","(1)","")</f>
        <v/>
      </c>
      <c r="B39" s="80">
        <f>IF($C$12&lt;&gt;"ピーク時特例方式",0,IF(AND(K40="○",K41="○"),$Q$28*$V$32,IF(K40="○",$Q$28,IF(K42="○",$Q$36,IF(AND(K43="○",K44="○"),$V$44,IF(K43="○",$Q$40,0))))))</f>
        <v>0</v>
      </c>
      <c r="C39" s="365">
        <f>IF(E39=0,0,IF(K44="○",$F$18+$F$20,$F$18))</f>
        <v>0</v>
      </c>
      <c r="D39" s="366"/>
      <c r="E39" s="87">
        <f>IF($C$12&lt;&gt;"ピーク時特例方式",0,IF(AND(K39="○",OR(K40="○",K43="○")),1,IF(K40="○",IF($G$22&lt;12*$Q$27,INT($G$22/12),$Q$27),IF(K42="○",IF($G$22&lt;12*$Q$35,INT($G$22/12),$Q$35),IF(K43="○",IF($G$22&lt;12*$Q$39,INT($G$22/12),$Q$39),IF(K45="○",INT(G22/12),0))))))</f>
        <v>0</v>
      </c>
      <c r="F39" s="7" t="str">
        <f>IF($C$12="ピーク時特例方式",IF(K44="○",$V$44,B39*E39),"")</f>
        <v/>
      </c>
      <c r="J39" s="43" t="s">
        <v>36</v>
      </c>
      <c r="K39" s="44" t="str">
        <f>IF(OR(AND(OR($C$13="業務外傷病",$C$13="業務外死亡（15年未満）"),AND($G$22&gt;=6,$G$22&lt;12)),AND(OR($C$13="整理",$C$13="業務上傷病",$C$13="業務上死亡"),AND($G$22&gt;0,$G$22&lt;12))),"○","")</f>
        <v/>
      </c>
      <c r="L39" s="43" t="s">
        <v>38</v>
      </c>
      <c r="M39" s="44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,$C$13="業務外傷病　※定年退職扱い"),AND($G$22&gt;=240,$G$22&lt;300)),AND(OR($C$13="定年（25年以上）",$C$13="勧奨（25年以上）",$C$13="業務外死亡（25年以上）",$C$13="業務外傷病　※定年退職扱い"),$G$22&gt;=240)),"○","")</f>
        <v/>
      </c>
      <c r="N39" s="68"/>
      <c r="O39" s="492"/>
      <c r="P39" s="300" t="s">
        <v>60</v>
      </c>
      <c r="Q39" s="305">
        <v>10</v>
      </c>
      <c r="R39" s="305">
        <v>25</v>
      </c>
      <c r="S39" s="305">
        <v>34</v>
      </c>
      <c r="T39" s="305"/>
      <c r="U39" s="65"/>
      <c r="V39" s="65"/>
      <c r="W39" s="129"/>
      <c r="X39" s="372" t="str">
        <f>IF($C$12="ピーク時特例方式","割　合","")</f>
        <v/>
      </c>
      <c r="Y39" s="373"/>
      <c r="Z39" s="372" t="str">
        <f>IF($C$12="ピーク時特例方式","退職日の基準給…⑬","")</f>
        <v/>
      </c>
      <c r="AA39" s="373"/>
      <c r="AB39" s="36" t="str">
        <f>IF($C$12="ピーク時特例方式","加入期間（規程適用後）","")</f>
        <v/>
      </c>
      <c r="AC39" s="36" t="str">
        <f>IF($C$12="ピーク時特例方式","給付率（割合×加入期間）","")</f>
        <v/>
      </c>
      <c r="AD39" s="98"/>
      <c r="AE39" s="98"/>
      <c r="AF39" s="98"/>
      <c r="AG39" s="382" t="s">
        <v>51</v>
      </c>
      <c r="AH39" s="383"/>
      <c r="AI39" s="382" t="s">
        <v>37</v>
      </c>
      <c r="AJ39" s="383"/>
      <c r="AK39" s="128"/>
      <c r="AL39" s="404" t="str">
        <f>IF($C$12="ピーク時特例方式","割　合","")</f>
        <v/>
      </c>
      <c r="AM39" s="406"/>
      <c r="AN39" s="404" t="str">
        <f>IF($C$12="ピーク時特例方式","退職日の基準給…⑬","")</f>
        <v/>
      </c>
      <c r="AO39" s="406"/>
      <c r="AP39" s="229" t="str">
        <f>IF($C$12="ピーク時特例方式","加入期間（規程適用後）","")</f>
        <v/>
      </c>
      <c r="AQ39" s="229" t="str">
        <f>IF($C$12="ピーク時特例方式","給付率（割合×加入期間）","")</f>
        <v/>
      </c>
      <c r="AR39" s="132"/>
      <c r="AS39" s="132"/>
      <c r="AT39" s="132"/>
      <c r="AU39" s="411" t="s">
        <v>51</v>
      </c>
      <c r="AV39" s="412"/>
      <c r="AW39" s="411" t="s">
        <v>37</v>
      </c>
      <c r="AX39" s="412"/>
      <c r="AY39" s="128"/>
      <c r="AZ39" s="128"/>
      <c r="BA39" s="128"/>
      <c r="BB39" s="128"/>
      <c r="BC39" s="128"/>
      <c r="BD39" s="128"/>
      <c r="BE39" s="128"/>
      <c r="BF39" s="128"/>
      <c r="BG39" s="128"/>
    </row>
    <row r="40" spans="1:59" ht="12" customHeight="1">
      <c r="A40" s="38" t="str">
        <f>IF(C12="ピーク時特例方式","(2)","")</f>
        <v/>
      </c>
      <c r="B40" s="11">
        <f>IF($C$12&lt;&gt;"ピーク時特例方式",0,IF(OR(E40=0,B39="給付対象外"),0,IF(AND(K40="○",K41="○"),$R$28*$V$32,IF(K40="○",$R$28,IF(K42="○",$R$36,IF(K43="○",$R$40,IF(AND(K44="○",K43="○"),$R$44,0)))))))</f>
        <v>0</v>
      </c>
      <c r="C40" s="384">
        <f t="shared" ref="C40:C44" si="8">IF(E40=0,0,$F$18)</f>
        <v>0</v>
      </c>
      <c r="D40" s="385"/>
      <c r="E40" s="12">
        <f>IF($C$12&lt;&gt;"ピーク時特例方式",0,IF(K39="○",0,IF(K40="○",IF($G$22&lt;12*$R$27,INT($G$22/12-E39),$R$27-E39),IF(K42="○",IF($G$22&lt;12*$R$35,INT($G$22/12-E39),$R$35-E39),IF(K43="○",IF($G$22&lt;12*$R$39,INT($G$22/12-E39),$R$39-E39),0)))))</f>
        <v>0</v>
      </c>
      <c r="F40" s="10" t="str">
        <f t="shared" ref="F40:F43" si="9">IF($C$12="ピーク時特例方式",B40*E40,"")</f>
        <v/>
      </c>
      <c r="J40" s="45" t="s">
        <v>31</v>
      </c>
      <c r="K40" s="46" t="str">
        <f>IF(OR(AND(OR($C$13="自己都合",$C$13="業務外傷病",$C$13="業務外死亡（15年未満）",$C$13="定年（15年未満）※自己都合退職扱い",$C$13="勧奨（15年未満）※自己都合退職扱い"),AND($G$22&gt;=12,$G$22&lt;540)),AND(OR($C$13="業務外傷病",$C$13="業務外死亡（15年未満）"),AND($G$22&gt;=6,$G$22&lt;12))),"○","")</f>
        <v/>
      </c>
      <c r="L40" s="45" t="s">
        <v>39</v>
      </c>
      <c r="M40" s="46" t="str">
        <f>IF(AND(OR($C$13="業務外傷病",$C$13="業務外死亡（15年未満）"),AND($G$22&gt;=432,$G$22&lt;444)),"○","")</f>
        <v/>
      </c>
      <c r="N40" s="68"/>
      <c r="O40" s="492"/>
      <c r="P40" s="297" t="s">
        <v>61</v>
      </c>
      <c r="Q40" s="303">
        <v>1.5</v>
      </c>
      <c r="R40" s="303">
        <v>1.65</v>
      </c>
      <c r="S40" s="303">
        <v>1.8</v>
      </c>
      <c r="T40" s="303">
        <v>1.05</v>
      </c>
      <c r="U40" s="65"/>
      <c r="V40" s="65"/>
      <c r="W40" s="129"/>
      <c r="X40" s="176" t="str">
        <f>IF($C$12="ピーク時特例方式","(1)","")</f>
        <v/>
      </c>
      <c r="Y40" s="135">
        <f>IF($C$12&lt;&gt;"ピーク時特例方式",0,IF(AND(AH41="○",AH42="○"),$Q$28*$V$32,IF(AH41="○",$Q$28,IF(AH43="○",$Q$36,IF(AND(AH44="○",AH45="○"),$AE$54,IF(AH44="○",$Q$40,"事由等を要確認"))))))</f>
        <v>0</v>
      </c>
      <c r="Z40" s="530">
        <f>IF(AB40=0,0,IF(AH45="○",$F$18+$F$19,$F$18))</f>
        <v>0</v>
      </c>
      <c r="AA40" s="531"/>
      <c r="AB40" s="177">
        <f>IF($C$12&lt;&gt;"ピーク時特例方式",0,IF(AND(AH40="○",OR(AH41="○",AH44="○")),1,IF(AH41="○",IF($G$22&lt;12*$Q$27,INT($G$22/12),$Q$27),IF(AH43="○",IF($G$22&lt;12*$Q$35,INT($G$22/12),$Q$35),IF(AH44="○",IF($G$22&lt;12*$Q$39,INT($G$22/12),$Q$39))))))</f>
        <v>0</v>
      </c>
      <c r="AC40" s="269" t="str">
        <f>IF($C$12="ピーク時特例方式",IF(AH45="○",$AE$54,Y40*AB40),"")</f>
        <v/>
      </c>
      <c r="AD40" s="98"/>
      <c r="AE40" s="98"/>
      <c r="AF40" s="98"/>
      <c r="AG40" s="139" t="s">
        <v>36</v>
      </c>
      <c r="AH40" s="140" t="str">
        <f>IF(OR(AND(OR($C$13="業務外傷病",$C$13="業務外死亡（15年未満）"),AND($G$22&gt;=6,$G$22&lt;12)),AND(OR($C$13="整理",$C$13="業務上傷病",$C$13="業務上死亡"),AND(AD23&gt;0,AD23&lt;12))),"○","")</f>
        <v/>
      </c>
      <c r="AI40" s="139" t="s">
        <v>38</v>
      </c>
      <c r="AJ40" s="140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),AND($G$22&gt;=240,$G$22&lt;300)),AND(OR($C$13="定年（25年以上）",$C$13="勧奨（25年以上）",$C$13="業務外死亡（25年以上）"),$G$22&gt;=240)),"○","")</f>
        <v/>
      </c>
      <c r="AK40" s="128"/>
      <c r="AL40" s="230" t="str">
        <f>IF($C$12="ピーク時特例方式","(1)","")</f>
        <v/>
      </c>
      <c r="AM40" s="231">
        <f>IF($C$12&lt;&gt;"ピーク時特例方式",0,IF(AND(AV41="○",AV42="○"),$Q$28*$V$32,IF(AV41="○",$Q$28,IF(AV43="○",$Q$36,IF(AND(AV44="○",AV45="○"),$AS$54,IF(AV44="○",$Q$40,"事由等を要確認"))))))</f>
        <v>0</v>
      </c>
      <c r="AN40" s="413">
        <f>IF(AP40=0,0,IF(AV45="○",$F$18+$F$20,$F$18))</f>
        <v>0</v>
      </c>
      <c r="AO40" s="414"/>
      <c r="AP40" s="232">
        <f>IF($C$12&lt;&gt;"ピーク時特例方式",0,IF(AND(AV40="○",OR(AV41="○",AV44="○")),1,IF(AV41="○",IF($G$22&lt;12*$Q$27,INT($G$22/12),$Q$27),IF($AV$43="○",IF($G$22&lt;12*$Q$35,INT($G$22/12),$Q$35),IF(AV44="○",IF($G$22&lt;12*$Q$39,IF(AV45="○",1,INT($G$22/12)),$Q$39))))))</f>
        <v>0</v>
      </c>
      <c r="AQ40" s="233" t="str">
        <f>IF($C$12="ピーク時特例方式",IF(AV45="○",$AS$54,AM40*AP40),"")</f>
        <v/>
      </c>
      <c r="AR40" s="132"/>
      <c r="AS40" s="132"/>
      <c r="AT40" s="132"/>
      <c r="AU40" s="234" t="s">
        <v>89</v>
      </c>
      <c r="AV40" s="235" t="str">
        <f>IF(OR(AND(OR($C$13="業務外傷病",$C$13="業務外死亡（15年未満）"),AND($G$22&gt;=6,$G$22&lt;12)),AND(OR($C$13="整理",$C$13="業務上傷病",$C$13="業務上死亡"),AND(AR23&gt;0,AR23&lt;12))),"○","")</f>
        <v/>
      </c>
      <c r="AW40" s="234" t="s">
        <v>90</v>
      </c>
      <c r="AX40" s="235" t="str">
        <f>IF(OR(AND(OR($C$13="業務外傷病",$C$13="業務外死亡（15年未満）"),OR(AND($G$22&gt;=240,$G$22&lt;444),$G$22&gt;=540)),AND($C$13="自己都合",$G$22&gt;=540),AND(OR($C$13="整理",$C$13="業務上傷病",$C$13="業務上死亡"),$G$22&gt;=240),AND(OR($C$13="定年(15年以上25年未満）",$C$13="勧奨（15年以上25年未満）",$C$13="業務外死亡（15年以上25年未満）"),AND($G$22&gt;=240,$G$22&lt;300)),AND(OR($C$13="定年（25年以上）",$C$13="勧奨（25年以上）",$C$13="業務外死亡（25年以上）"),$G$22&gt;=240)),"○","")</f>
        <v/>
      </c>
      <c r="AY40" s="128"/>
      <c r="AZ40" s="128"/>
      <c r="BA40" s="128"/>
      <c r="BB40" s="128"/>
      <c r="BC40" s="128"/>
      <c r="BD40" s="128"/>
      <c r="BE40" s="128"/>
      <c r="BF40" s="128"/>
      <c r="BG40" s="128"/>
    </row>
    <row r="41" spans="1:59" ht="12" customHeight="1">
      <c r="A41" s="38" t="str">
        <f>IF(C12="ピーク時特例方式","(3)","")</f>
        <v/>
      </c>
      <c r="B41" s="11">
        <f>IF($C$12&lt;&gt;"ピーク時特例方式",0,IF(E41=0,0,IF(AND(K40="○",K41="○"),$S$28*$V$32,IF(K40="○",$S$28,IF(K42="○",$S$36,IF(K43="○",$S$40,IF(AND(K44="○",K43="○"),$S$44,0)))))))</f>
        <v>0</v>
      </c>
      <c r="C41" s="384">
        <f>IF(E41=0,0,$F$18)</f>
        <v>0</v>
      </c>
      <c r="D41" s="385"/>
      <c r="E41" s="12">
        <f>IF($C$12&lt;&gt;"ピーク時特例方式",0,IF(K39="○",0,IF(K40="○",IF($G$22&lt;12*$S$27,INT($G$22/12-(E40+E39)),$S$27-(E40+E39)),IF(K42="○",IF($G$22&lt;12*$S$35,INT($G$22/12-(E40+E39)),$S$35-(E40+E39)),IF(K43="○",IF($G$22&lt;12*$S$39,INT($G$22/12-(E40+E39)),$S$39-(E40+E39)),0)))))</f>
        <v>0</v>
      </c>
      <c r="F41" s="10" t="str">
        <f>IF($C$12="ピーク時特例方式",B41*E41,"")</f>
        <v/>
      </c>
      <c r="J41" s="45" t="s">
        <v>32</v>
      </c>
      <c r="K41" s="46" t="str">
        <f>IF(AND(OR($C$13="自己都合",$C$13="定年（15年未満）※自己都合退職扱い",$C$13="勧奨（15年未満）※自己都合退職扱い"),AND($G$22&gt;=12,$G$22&lt;240)),"○","")</f>
        <v/>
      </c>
      <c r="L41" s="45" t="s">
        <v>40</v>
      </c>
      <c r="M41" s="46" t="str">
        <f>IF(AND(OR($C$13="整理",$C$13="業務上傷病",$C$13="業務上死亡",$C$13="定年（25年以上）",$C$13="勧奨（25年以上）",$C$13="業務外死亡（25年以上）",$C$13="業務外傷病　※定年退職扱い"),$G$22&gt;=432),"○","")</f>
        <v/>
      </c>
      <c r="N41" s="26"/>
      <c r="O41" s="67"/>
      <c r="P41" s="67"/>
      <c r="Q41" s="67"/>
      <c r="R41" s="67"/>
      <c r="S41" s="67"/>
      <c r="T41" s="67"/>
      <c r="U41" s="65"/>
      <c r="V41" s="65"/>
      <c r="W41" s="129"/>
      <c r="X41" s="147" t="str">
        <f>IF($C$12="ピーク時特例方式","(2)","")</f>
        <v/>
      </c>
      <c r="Y41" s="147">
        <f>IF($C$12&lt;&gt;"ピーク時特例方式",0,IF(OR(AB41=0,Y40="給付対象外"),0,IF(AND(AH41="○",AH42="○"),$R$28*$V$32,IF(AH41="○",$R$28,IF(AH43="○",$R$36,IF(AH44="○",$R$40,IF(AND(AH45="○",AH44="○"),$AA$54)))))))</f>
        <v>0</v>
      </c>
      <c r="Z41" s="534">
        <f t="shared" ref="Z41" si="10">IF(AB41=0,0,$F$18)</f>
        <v>0</v>
      </c>
      <c r="AA41" s="535"/>
      <c r="AB41" s="143">
        <f>IF($C$12&lt;&gt;"ピーク時特例方式",0,IF(AH40="○",0,IF(AH41="○",IF($G$22&lt;12*$R$27,INT($G$22/12-AB40),$R$27-AB40),IF(AH43="○",IF($G$22&lt;12*$R$35,INT($G$22/12-AB40),$R$35-AB40),IF(AH44="○",IF($G$22&lt;12*$R$39,INT($G$22/12-AB40),$R$39-AB40))))))</f>
        <v>0</v>
      </c>
      <c r="AC41" s="144" t="str">
        <f t="shared" ref="AC41" si="11">IF($C$12="ピーク時特例方式",Y41*AB41,"")</f>
        <v/>
      </c>
      <c r="AD41" s="98"/>
      <c r="AE41" s="98"/>
      <c r="AF41" s="98"/>
      <c r="AG41" s="145" t="s">
        <v>31</v>
      </c>
      <c r="AH41" s="146" t="str">
        <f>IF(OR(AND(OR($C$13="自己都合",$C$13="業務外傷病",$C$13="業務外死亡（15年未満）"),AND($G$22&gt;=12,$G$22&lt;540)),AND(OR($C$13="業務外傷病",$C$13="業務外死亡（15年未満）"),AND($G$22&gt;=6,$G$22&lt;12))),"○","")</f>
        <v/>
      </c>
      <c r="AI41" s="145" t="s">
        <v>39</v>
      </c>
      <c r="AJ41" s="146" t="str">
        <f>IF(AND(OR($C$13="業務外傷病",$C$13="業務外死亡（15年未満）"),AND($G$22&gt;=432,$G$22&lt;444)),"○","")</f>
        <v/>
      </c>
      <c r="AK41" s="128"/>
      <c r="AL41" s="236" t="str">
        <f>IF($C$12="ピーク時特例方式","(2)","")</f>
        <v/>
      </c>
      <c r="AM41" s="236"/>
      <c r="AN41" s="415"/>
      <c r="AO41" s="416"/>
      <c r="AP41" s="237">
        <f>IF($C$12&lt;&gt;"ピーク時特例方式",0,IF(AV40="○",0,IF(AV41="○",IF($G$22&lt;12*$R$27,INT($G$22/12-AP40),$R$27-AP40),IF(AV43="○",IF($G$22&lt;12*$R$35,INT($G$22/12-AP40),$R$35-AP40),IF(AV44="○",IF($G$22&lt;12*$R$39,INT($G$22/12-AP40),$R$39-AP40))))))</f>
        <v>0</v>
      </c>
      <c r="AQ41" s="238" t="str">
        <f t="shared" ref="AQ41" si="12">IF($C$12="ピーク時特例方式",AM41*AP41,"")</f>
        <v/>
      </c>
      <c r="AR41" s="132"/>
      <c r="AS41" s="132"/>
      <c r="AT41" s="132"/>
      <c r="AU41" s="239" t="s">
        <v>92</v>
      </c>
      <c r="AV41" s="240" t="str">
        <f>IF(OR(AND(OR($C$13="自己都合",$C$13="業務外傷病",$C$13="業務外死亡（15年未満）"),AND($G$22&gt;=12,$G$22&lt;540)),AND(OR($C$13="業務外傷病",$C$13="業務外死亡（15年未満）"),AND($G$22&gt;=6,$G$22&lt;12))),"○","")</f>
        <v/>
      </c>
      <c r="AW41" s="239" t="s">
        <v>93</v>
      </c>
      <c r="AX41" s="240" t="str">
        <f>IF(AND(OR($C$13="業務外傷病",$C$13="業務外死亡（15年未満）"),AND($G$22&gt;=432,$G$22&lt;444)),"○","")</f>
        <v/>
      </c>
      <c r="AY41" s="128"/>
      <c r="AZ41" s="128"/>
      <c r="BA41" s="128"/>
      <c r="BB41" s="128"/>
      <c r="BC41" s="128"/>
      <c r="BD41" s="128"/>
      <c r="BE41" s="128"/>
      <c r="BF41" s="128"/>
      <c r="BG41" s="128"/>
    </row>
    <row r="42" spans="1:59" ht="12" customHeight="1">
      <c r="A42" s="38" t="str">
        <f>IF(C12="ピーク時特例方式","(4)","")</f>
        <v/>
      </c>
      <c r="B42" s="11">
        <f>IF($C$12&lt;&gt;"ピーク時特例方式",0,IF(E42=0,0,IF(AND(K40="○",K41="○"),$T$28*$V$32,IF(K40="○",$T$28,IF(K42="○",$T$36,IF(K43="○",$T$40,IF(AND(K44="○",K43="○"),$T$44,0)))))))</f>
        <v>0</v>
      </c>
      <c r="C42" s="384">
        <f>IF(E42=0,0,$F$18)</f>
        <v>0</v>
      </c>
      <c r="D42" s="491"/>
      <c r="E42" s="12">
        <f>IF($C$12&lt;&gt;"ピーク時特例方式",0,IF(K39="○",0,IF(K40="○",IF($G$22&lt;12*$T$27,INT($G$22/12-(E41+E40+E39)),$T$27-(E41+E40+E39)),IF(K42="○",IF($G$22&lt;12*$S$35,INT($G$22/12-(E41+E40+E39)),$S$35-(E41+E40+E39)),IF(K43="○",IF($G$22&gt;=12*$T$38,$T$38-(E41+E40+E39),INT($G$22/12-(E41+E40+E39))),0)))))</f>
        <v>0</v>
      </c>
      <c r="F42" s="10" t="str">
        <f>IF($C$12="ピーク時特例方式",B42*E42,"")</f>
        <v/>
      </c>
      <c r="J42" s="45" t="s">
        <v>33</v>
      </c>
      <c r="K42" s="46" t="str">
        <f>IF(AND(OR($C$13="定年(15年以上25年未満）",$C$13="勧奨（15年以上25年未満）",$C$13="業務外死亡（15年以上25年未満）",$C$13="業務外傷病　※定年退職扱い"),AND($G$22&gt;=180,$G$22&lt;300)),"○","")</f>
        <v/>
      </c>
      <c r="L42" s="45" t="s">
        <v>41</v>
      </c>
      <c r="M42" s="46" t="str">
        <f>IF(AND(OR($C$13="自己都合",$C$13="業務外傷病",$C$13="業務外死亡（15年未満）"),$G$22&gt;=540),"○","")</f>
        <v/>
      </c>
      <c r="N42" s="60"/>
      <c r="O42" s="492" t="s">
        <v>35</v>
      </c>
      <c r="P42" s="298" t="s">
        <v>58</v>
      </c>
      <c r="Q42" s="304">
        <v>0</v>
      </c>
      <c r="R42" s="304">
        <v>1</v>
      </c>
      <c r="S42" s="304">
        <v>2</v>
      </c>
      <c r="T42" s="304">
        <v>3</v>
      </c>
      <c r="U42" s="65"/>
      <c r="V42" s="65"/>
      <c r="W42" s="129"/>
      <c r="X42" s="147" t="str">
        <f>IF($C$12="ピーク時特例方式","(3)","")</f>
        <v/>
      </c>
      <c r="Y42" s="147">
        <f>IF($C$12&lt;&gt;"ピーク時特例方式",0,IF(AB42=0,0,IF(AND(AH41="○",AH42="○"),$S$28*$V$32,IF(AH41="○",$S$28,IF(AH43="○",$S$36,IF(AH44="○",$S$40,IF(AND(AH45="○",AH44="○"),$S$44)))))))</f>
        <v>0</v>
      </c>
      <c r="Z42" s="534">
        <f>IF(AB42=0,0,$F$18)</f>
        <v>0</v>
      </c>
      <c r="AA42" s="535"/>
      <c r="AB42" s="143">
        <f>IF($C$12&lt;&gt;"ピーク時特例方式",0,IF(AH40="○",0,IF(AH41="○",IF($G$22&lt;12*$S$27,INT($G$22/12-(AB41+AB40)),$S$27-(AB41+AB40)),IF(AH43="○",IF($G$22&lt;12*$S$35,INT($G$22/12-(AB41+AB40)),$S$35-(AB41+AB40)),IF(AH44="○",IF($G$22&lt;12*$S$39,INT($G$22/12-(AB41+AB40)),$S$39-(AB41+AB40)))))))</f>
        <v>0</v>
      </c>
      <c r="AC42" s="144" t="str">
        <f>IF($C$12="ピーク時特例方式",Y42*AB42,"")</f>
        <v/>
      </c>
      <c r="AD42" s="98"/>
      <c r="AE42" s="98"/>
      <c r="AF42" s="98"/>
      <c r="AG42" s="145" t="s">
        <v>32</v>
      </c>
      <c r="AH42" s="146" t="str">
        <f>IF(AND($C$13="自己都合",AND($G$22&gt;=12,$G$22&lt;240)),"○","")</f>
        <v/>
      </c>
      <c r="AI42" s="145" t="s">
        <v>40</v>
      </c>
      <c r="AJ42" s="146" t="str">
        <f>IF(AND(OR($C$13="整理",$C$13="業務上傷病",$C$13="業務上死亡",$C$13="定年（25年以上）",$C$13="勧奨（25年以上）",$C$13="業務外死亡（25年以上）"),$G$22&gt;=432),"○","")</f>
        <v/>
      </c>
      <c r="AK42" s="128"/>
      <c r="AL42" s="236" t="str">
        <f>IF($C$12="ピーク時特例方式","(3)","")</f>
        <v/>
      </c>
      <c r="AM42" s="236"/>
      <c r="AN42" s="415"/>
      <c r="AO42" s="416"/>
      <c r="AP42" s="237">
        <f>IF($C$12&lt;&gt;"ピーク時特例方式",0,IF(AV40="○",0,IF(AV41="○",IF($G$22&lt;12*$S$27,INT($G$22/12-(AP41+AP40)),$S$27-(AP41+AP40)),IF(AV43="○",IF($G$22&lt;12*$S$35,INT($G$22/12-(AP41+AP40)),$S$35-(AP41+AP40)),IF(AV44="○",IF($G$22&lt;12*$S$39,INT($G$22/12-(AP41+AP40)),$S$39-(AP41+AP40)))))))</f>
        <v>0</v>
      </c>
      <c r="AQ42" s="238" t="str">
        <f>IF($C$12="ピーク時特例方式",AM42*AP42,"")</f>
        <v/>
      </c>
      <c r="AR42" s="132"/>
      <c r="AS42" s="132"/>
      <c r="AT42" s="132"/>
      <c r="AU42" s="239" t="s">
        <v>95</v>
      </c>
      <c r="AV42" s="240" t="str">
        <f>IF(AND($C$13="自己都合",AND($G$22&gt;=12,$G$22&lt;240)),"○","")</f>
        <v/>
      </c>
      <c r="AW42" s="239" t="s">
        <v>96</v>
      </c>
      <c r="AX42" s="240" t="str">
        <f>IF(AND(OR($C$13="整理",$C$13="業務上傷病",$C$13="業務上死亡",$C$13="定年（25年以上）",$C$13="勧奨（25年以上）",$C$13="業務外死亡（25年以上）"),$G$22&gt;=432),"○","")</f>
        <v/>
      </c>
      <c r="AY42" s="128"/>
      <c r="AZ42" s="128"/>
      <c r="BA42" s="128"/>
      <c r="BB42" s="128"/>
      <c r="BC42" s="128"/>
      <c r="BD42" s="128"/>
      <c r="BE42" s="128"/>
      <c r="BF42" s="128"/>
      <c r="BG42" s="128"/>
    </row>
    <row r="43" spans="1:59" ht="12" customHeight="1">
      <c r="A43" s="39" t="str">
        <f>IF(C12="ピーク時特例方式","(5)","")</f>
        <v/>
      </c>
      <c r="B43" s="82">
        <f>IF($C$12&lt;&gt;"ピーク時特例方式",0,IF(E43=0,0,IF(AND(K40="○",K41="○"),$U$28*$V$32,IF(K40="○",$U$28,IF(K42="○",$U$36,IF(K43="○",$U$40,IF(AND(K44="○",K43="○"),$U$44,0)))))))</f>
        <v>0</v>
      </c>
      <c r="C43" s="384">
        <f t="shared" si="8"/>
        <v>0</v>
      </c>
      <c r="D43" s="491"/>
      <c r="E43" s="12">
        <f>IF($C$12&lt;&gt;"ピーク時特例方式",0,IF(K39="○",0,IF(K40="○",IF($G$22&lt;12*$U$27,INT($G$22/12-(E42+E41+E40+E39)),$U$27-(E42+E41+E40+E39)),IF(K42="○",IF($G$22&lt;12*$S$35,INT($G$22/12-(E42+E41+E40+E39)),$S$35-(E42+E41+E40+E39)),IF(K43="○",IF($G$22&lt;12*$T$38,INT($G$22/12-(E42+E41+E40+E39)),$T$38-(E42+E41+E40+E39)),0)))))</f>
        <v>0</v>
      </c>
      <c r="F43" s="10" t="str">
        <f t="shared" si="9"/>
        <v/>
      </c>
      <c r="J43" s="45" t="s">
        <v>34</v>
      </c>
      <c r="K43" s="46" t="str">
        <f>IF(OR(AND(OR($C$13="定年（25年以上）",$C$13="勧奨（25年以上）",$C$13="業務外死亡（25年以上）",$C$13="業務外傷病　※定年退職扱い"),$G$22&gt;=300),AND(OR($C$13="自己都合",$C$13="業務外傷病",$C$13="業務外死亡（15年未満）"),$G$22&gt;=540),OR($C$13="整理",$C$13="業務上傷病",$C$13="業務上死亡")),"○","")</f>
        <v/>
      </c>
      <c r="L43" s="47" t="s">
        <v>42</v>
      </c>
      <c r="M43" s="48" t="b">
        <f>IF($C$12="ピーク時特例方式",IF($I$12&gt;=$O$48,"○",""))</f>
        <v>0</v>
      </c>
      <c r="N43" s="60"/>
      <c r="O43" s="492"/>
      <c r="P43" s="300" t="s">
        <v>59</v>
      </c>
      <c r="Q43" s="305">
        <v>1</v>
      </c>
      <c r="R43" s="305">
        <v>2</v>
      </c>
      <c r="S43" s="305">
        <v>3</v>
      </c>
      <c r="T43" s="305"/>
      <c r="U43" s="65" t="str">
        <f>IF($C$12&lt;&gt;"ピーク時特例方式","適用する率（退職日まで期間)","適用する率（旧定年まで）")</f>
        <v>適用する率（退職日まで期間)</v>
      </c>
      <c r="V43" s="65" t="str">
        <f>IF($C$12&lt;&gt;"ピーク時特例方式","","適用する率（退職日まで）")</f>
        <v/>
      </c>
      <c r="W43" s="129"/>
      <c r="X43" s="147" t="str">
        <f>IF($C$12="ピーク時特例方式","(4)","")</f>
        <v/>
      </c>
      <c r="Y43" s="147">
        <f>IF($C$12&lt;&gt;"ピーク時特例方式",0,IF(AB43=0,0,IF(AND(AH41="○",AH42="○"),$T$28*$V$32,IF(AH41="○",$T$28,IF(AH43="○",$T$36,IF(AH44="○",$T$40,IF(AND(AH45="○",AH44="○"),$T$44)))))))</f>
        <v>0</v>
      </c>
      <c r="Z43" s="534">
        <f>IF(AB43=0,0,$F$18)</f>
        <v>0</v>
      </c>
      <c r="AA43" s="545"/>
      <c r="AB43" s="143">
        <f>IF($C$12&lt;&gt;"ピーク時特例方式",0,IF(AH40="○",0,IF(AH41="○",IF($G$22&lt;12*$T$27,INT($G$22/12-(AB42+AB41+AB40)),$T$27-(AB42+AB41+AB40)),IF(AH43="○",IF($G$22&lt;12*$S$35,INT($G$22/12-(AB42+AB41+AB40)),$S$35-(AB42+AB41+AB40)),IF(AH44="○",IF($G$22&gt;=12*$T$38,$T$38-(AB42+AB41+AB40),INT($G$22/12-(AB42+AB41+AB40))))))))</f>
        <v>0</v>
      </c>
      <c r="AC43" s="144" t="str">
        <f>IF($C$12="ピーク時特例方式",Y43*AB43,"")</f>
        <v/>
      </c>
      <c r="AD43" s="98"/>
      <c r="AE43" s="98"/>
      <c r="AF43" s="98"/>
      <c r="AG43" s="145" t="s">
        <v>33</v>
      </c>
      <c r="AH43" s="146" t="str">
        <f>IF(AND(OR($C$13="定年(15年以上25年未満）",Z14="勧奨（15年以上25年未満）",Z14="業務外死亡（15年以上25年未満）"),AND($G$22&gt;=180,$G$22&lt;300)),"○","")</f>
        <v/>
      </c>
      <c r="AI43" s="145" t="s">
        <v>41</v>
      </c>
      <c r="AJ43" s="146" t="str">
        <f>IF(AND(OR($C$13="自己都合",$C$13="業務外傷病",$C$13="業務外死亡（15年未満）"),$G$22&gt;=540),"○","")</f>
        <v/>
      </c>
      <c r="AK43" s="128"/>
      <c r="AL43" s="236" t="str">
        <f>IF($C$12="ピーク時特例方式","(4)","")</f>
        <v/>
      </c>
      <c r="AM43" s="236"/>
      <c r="AN43" s="415"/>
      <c r="AO43" s="417"/>
      <c r="AP43" s="237">
        <f>IF($C$12&lt;&gt;"ピーク時特例方式",0,IF(AV40="○",0,IF(AV41="○",IF($G$22&lt;12*$T$27,INT($G$22/12-(AP42+AP41+AP40)),$T$27-(AP42+AP41+AP40)),IF(AV43="○",IF($G$22&lt;12*$S$35,INT($G$22/12-(AP42+AP41+AP40)),$S$35-(AP42+AP41+AP40)),IF(AV44="○",IF($G$22&gt;=12*$T$38,$T$38-(AP42+AP41+AP40),INT($G$22/12-(AP42+AP41+AP40))))))))</f>
        <v>0</v>
      </c>
      <c r="AQ43" s="238" t="str">
        <f>IF($C$12="ピーク時特例方式",AM43*AP43,"")</f>
        <v/>
      </c>
      <c r="AR43" s="132"/>
      <c r="AS43" s="132"/>
      <c r="AT43" s="132"/>
      <c r="AU43" s="239" t="s">
        <v>98</v>
      </c>
      <c r="AV43" s="240" t="str">
        <f>IF(AND(OR($C$13="定年(15年以上25年未満）",AN14="勧奨（15年以上25年未満）",AN14="業務外死亡（15年以上25年未満）"),AND($G$22&gt;=180,$G$22&lt;300)),"○","")</f>
        <v/>
      </c>
      <c r="AW43" s="239" t="s">
        <v>99</v>
      </c>
      <c r="AX43" s="240" t="str">
        <f>IF(AND(OR($C$13="自己都合",$C$13="業務外傷病",$C$13="業務外死亡（15年未満）"),$G$22&gt;=540),"○","")</f>
        <v/>
      </c>
      <c r="AY43" s="128"/>
      <c r="AZ43" s="128"/>
      <c r="BA43" s="128"/>
      <c r="BB43" s="128"/>
      <c r="BC43" s="128"/>
      <c r="BD43" s="128"/>
      <c r="BE43" s="128"/>
      <c r="BF43" s="128"/>
      <c r="BG43" s="128"/>
    </row>
    <row r="44" spans="1:59" ht="12" customHeight="1">
      <c r="A44" s="40" t="str">
        <f>IF(C12="ピーク時特例方式","(6)","")</f>
        <v/>
      </c>
      <c r="B44" s="14">
        <f>IF($C$12&lt;&gt;"ピーク時特例方式",0,IF(E44=0,0,IF(AND(K40="○",K41="○"),$V$28*$V$32,IF(K40="○",$V$28,IF(K42="○",$V$36,IF(K43="○",$V$40,IF(AND(K44="○",K43="○"),$V$44,0)))))))</f>
        <v>0</v>
      </c>
      <c r="C44" s="493">
        <f t="shared" si="8"/>
        <v>0</v>
      </c>
      <c r="D44" s="494"/>
      <c r="E44" s="12">
        <f>IF($C$12&lt;&gt;"ピーク時特例方式",0,IF(M40="○",5,IF(K39="○",0,IF(K40="○",IF($G$22&gt;=12*$V$26,INT($G$22/12-(E43+E42+E41+E40+E39)),INT($G$22/12-(E43+E42+E41+E40+E39))),IF(K42="○",IF($G$22&lt;12*$S$35,INT($G$22/12-(E43+E42+E41+E40+E39)),$S$35-(E43+E42+E41+E40+E39)),IF(K43="○",IF($G$22&gt;=12*$T$38,$T$38-(E43+E42+E41+E40+E39),INT($G$22/12-(E43+E42+E41+E40+E39))),0))))))</f>
        <v>0</v>
      </c>
      <c r="F44" s="10" t="str">
        <f>IF($C$12="ピーク時特例方式",B44*E44,"")</f>
        <v/>
      </c>
      <c r="J44" s="285" t="s">
        <v>35</v>
      </c>
      <c r="K44" s="286" t="str">
        <f>IF(AND(OR($C$13="整理",$C$13="業務上傷病",$C$13="業務上死亡"),$AH$49="○"),"○","")</f>
        <v/>
      </c>
      <c r="L44" s="288"/>
      <c r="M44" s="287"/>
      <c r="N44" s="68"/>
      <c r="O44" s="492"/>
      <c r="P44" s="297" t="s">
        <v>61</v>
      </c>
      <c r="Q44" s="303">
        <v>2.7</v>
      </c>
      <c r="R44" s="303">
        <v>3.6</v>
      </c>
      <c r="S44" s="303">
        <v>4.5</v>
      </c>
      <c r="T44" s="303">
        <v>5.4</v>
      </c>
      <c r="U44" s="65">
        <f>IF($K$31="○",IF($F$22&lt;Q43*12,Q44,IF(AND($F$22&gt;=R42*12,$F$22&lt;S42*12),R44,IF(AND($F$22&gt;=S42*12,$F$22&lt;S43*12),S44,IF($F$22&gt;=T42*12,T44,1)))),T44)</f>
        <v>5.4</v>
      </c>
      <c r="V44" s="65">
        <f>IF($K$44="○",IF($G$22&lt;Q43*12,Q44,IF(AND($G$22&gt;=R42*12,$G$22&lt;S42*12),R44,IF(AND($G$22&gt;=S42*12,$G$22&lt;S43*12),S44,IF($G$22&gt;=T42*12,T44,1)))),T44)</f>
        <v>5.4</v>
      </c>
      <c r="W44" s="129"/>
      <c r="X44" s="149" t="str">
        <f>IF($C$12="ピーク時特例方式","(5)","")</f>
        <v/>
      </c>
      <c r="Y44" s="149">
        <f>IF($C$12&lt;&gt;"ピーク時特例方式",0,IF(AB44=0,0,IF(AND(AH41="○",AH42="○"),$U$28*$V$32,IF(AH41="○",$U$28,IF(AH43="○",$U$36,IF(AH44="○",$U$40,IF(AND(AH45="○",AH44="○"),$U$44)))))))</f>
        <v>0</v>
      </c>
      <c r="Z44" s="534">
        <f t="shared" ref="Z44:Z45" si="13">IF(AB44=0,0,$F$18)</f>
        <v>0</v>
      </c>
      <c r="AA44" s="545"/>
      <c r="AB44" s="143">
        <f>IF($C$12&lt;&gt;"ピーク時特例方式",0,IF(AH40="○",0,IF(AH41="○",IF($G$22&lt;12*$U$27,INT($G$22/12-(AB43+AB42+AB41+AB40)),$U$27-(AB43+AB42+AB41+AB40)),IF(AH43="○",IF($G$22&lt;12*$S$35,INT($G$22/12-(AB43+AB42+AB41+AB40)),$S$35-(AB43+AB42+AB41+AB40)),IF(AH44="○",IF($G$22&lt;12*$T$38,INT($G$22/12-(AB43+AB42+AB41+AB40)),$T$38-(AB43+AB42+AB41+AB40)))))))</f>
        <v>0</v>
      </c>
      <c r="AC44" s="144" t="str">
        <f t="shared" ref="AC44" si="14">IF($C$12="ピーク時特例方式",Y44*AB44,"")</f>
        <v/>
      </c>
      <c r="AD44" s="98"/>
      <c r="AE44" s="98"/>
      <c r="AF44" s="98"/>
      <c r="AG44" s="145" t="s">
        <v>34</v>
      </c>
      <c r="AH44" s="146" t="s">
        <v>81</v>
      </c>
      <c r="AI44" s="145" t="s">
        <v>42</v>
      </c>
      <c r="AJ44" s="146" t="b">
        <f>IF($C$12="ピーク時特例方式",IF($I$12&gt;=$O$48,"○",""))</f>
        <v>0</v>
      </c>
      <c r="AK44" s="128"/>
      <c r="AL44" s="241" t="str">
        <f>IF($C$12="ピーク時特例方式","(5)","")</f>
        <v/>
      </c>
      <c r="AM44" s="241"/>
      <c r="AN44" s="415"/>
      <c r="AO44" s="417"/>
      <c r="AP44" s="237">
        <f>IF($C$12&lt;&gt;"ピーク時特例方式",0,IF(AV40="○",0,IF(AV41="○",IF($G$22&lt;12*$U$27,INT($G$22/12-(AP43+AP42+AP41+AP40)),$U$27-(AP43+AP42+AP41+AP40)),IF(AV43="○",IF($G$22&lt;12*$S$35,INT($G$22/12-(AP43+AP42+AP41+AP40)),$S$35-(AP43+AP42+AP41+AP40)),IF(AV44="○",IF($G$22&lt;12*$T$38,INT($G$22/12-(AP43+AP42+AP41+AP40)),$T$38-(AP43+AP42+AP41+AP40)))))))</f>
        <v>0</v>
      </c>
      <c r="AQ44" s="238" t="str">
        <f t="shared" ref="AQ44" si="15">IF($C$12="ピーク時特例方式",AM44*AP44,"")</f>
        <v/>
      </c>
      <c r="AR44" s="132"/>
      <c r="AS44" s="132"/>
      <c r="AT44" s="132"/>
      <c r="AU44" s="239" t="s">
        <v>101</v>
      </c>
      <c r="AV44" s="240" t="s">
        <v>112</v>
      </c>
      <c r="AW44" s="239" t="s">
        <v>102</v>
      </c>
      <c r="AX44" s="240" t="b">
        <f>IF($C$12="ピーク時特例方式",IF($I$12&gt;=$O$48,"○",""))</f>
        <v>0</v>
      </c>
      <c r="AY44" s="128"/>
      <c r="AZ44" s="128"/>
      <c r="BA44" s="128"/>
      <c r="BB44" s="128"/>
      <c r="BC44" s="128"/>
      <c r="BD44" s="128"/>
      <c r="BE44" s="128"/>
      <c r="BF44" s="128"/>
      <c r="BG44" s="128"/>
    </row>
    <row r="45" spans="1:59" ht="12" customHeight="1">
      <c r="A45" s="511" t="str">
        <f>IF(C12="ピーク時特例方式","小　計…⑱","")</f>
        <v/>
      </c>
      <c r="B45" s="512"/>
      <c r="C45" s="512"/>
      <c r="D45" s="513"/>
      <c r="E45" s="72" t="str">
        <f>IF(C12="ピーク時特例方式",SUM(E39:E44),"")</f>
        <v/>
      </c>
      <c r="F45" s="73">
        <f>IF(C12="ピーク時特例方式",SUM(F39:F44),0)</f>
        <v>0</v>
      </c>
      <c r="J45" s="47" t="s">
        <v>133</v>
      </c>
      <c r="K45" s="48" t="str">
        <f>IF(C13="懲戒免職","○","")</f>
        <v/>
      </c>
      <c r="L45" s="289" t="s">
        <v>141</v>
      </c>
      <c r="M45" s="48" t="str">
        <f>IF($C$12=$R$89,"○","")</f>
        <v/>
      </c>
      <c r="W45" s="128"/>
      <c r="X45" s="151" t="str">
        <f>IF($C$12="ピーク時特例方式","(6)","")</f>
        <v/>
      </c>
      <c r="Y45" s="151">
        <f>IF($C$12&lt;&gt;"ピーク時特例方式",0,IF(AB45=0,0,IF(AND(AH41="○",AH42="○"),$V$28*$V$32,IF(AH41="○",$V$28,IF(AH43="○",$V$36,IF(AH44="○",$V$40,IF(AND(AH45="○",AH44="○"),$V$44)))))))</f>
        <v>0</v>
      </c>
      <c r="Z45" s="548">
        <f t="shared" si="13"/>
        <v>0</v>
      </c>
      <c r="AA45" s="549"/>
      <c r="AB45" s="143">
        <f>IF($C$12&lt;&gt;"ピーク時特例方式",0,IF(AJ41="○",5,IF(AH40="○",0,IF(AH41="○",IF($G$22&gt;=12*$V$26,INT($G$22/12-(AB44+AB43+AB42+AB41+AB40)),INT($G$22/12-(AB44+AB43+AB42+AB41+AB40))),IF(AH43="○",IF($G$22&lt;12*$S$35,INT($G$22/12-(AB44+AB43+AB42+AB41+AB40)),$S$35-(AB44+AB43+AB42+AB41+AB40)),IF(AH44="○",IF($G$22&gt;=12*$T$38,$T$38-(AB44+AB43+AB42+AB41+AB40),INT($G$22/12-(AB44+AB43+AB42+AB41+AB40)))))))))</f>
        <v>0</v>
      </c>
      <c r="AC45" s="144" t="str">
        <f>IF($C$12="ピーク時特例方式",Y45*AB45,"")</f>
        <v/>
      </c>
      <c r="AD45" s="98"/>
      <c r="AE45" s="98"/>
      <c r="AF45" s="98"/>
      <c r="AG45" s="154" t="s">
        <v>35</v>
      </c>
      <c r="AH45" s="155"/>
      <c r="AI45" s="156"/>
      <c r="AJ45" s="157"/>
      <c r="AK45" s="128"/>
      <c r="AL45" s="242" t="str">
        <f>IF($C$12="ピーク時特例方式","(6)","")</f>
        <v/>
      </c>
      <c r="AM45" s="242"/>
      <c r="AN45" s="402"/>
      <c r="AO45" s="403"/>
      <c r="AP45" s="237">
        <f>IF($C$12&lt;&gt;"ピーク時特例方式",0,IF(AX41="○",5,IF(AV40="○",0,IF(AV41="○",IF($G$22&gt;=12*$V$26,INT($G$22/12-(AP44+AP43+AP42+AP41+AP40)),INT($G$22/12-(AP44+AP43+AP42+AP41+AP40))),IF(AV43="○",IF($G$22&lt;12*$S$35,INT($G$22/12-(AP44+AP43+AP42+AP41+AP40)),$S$35-(AP44+AP43+AP42+AP41+AP40)),IF(AV44="○",IF($G$22&gt;=12*$T$38,$T$38-(AP44+AP43+AP42+AP41+AP40),INT($G$22/12-(AP44+AP43+AP42+AP41+AP40)))))))))</f>
        <v>0</v>
      </c>
      <c r="AQ45" s="238" t="str">
        <f>IF($C$12="ピーク時特例方式",AM45*AP45,"")</f>
        <v/>
      </c>
      <c r="AR45" s="132"/>
      <c r="AS45" s="132"/>
      <c r="AT45" s="132"/>
      <c r="AU45" s="243" t="s">
        <v>104</v>
      </c>
      <c r="AV45" s="244" t="s">
        <v>81</v>
      </c>
      <c r="AW45" s="245"/>
      <c r="AX45" s="246"/>
      <c r="AY45" s="128"/>
      <c r="AZ45" s="128"/>
      <c r="BA45" s="128"/>
      <c r="BB45" s="128"/>
      <c r="BC45" s="128"/>
      <c r="BD45" s="128"/>
      <c r="BE45" s="128"/>
      <c r="BF45" s="128"/>
      <c r="BG45" s="128"/>
    </row>
    <row r="46" spans="1:59" ht="12" customHeight="1">
      <c r="A46" s="514" t="str">
        <f>IF(C12="ピーク時特例方式","附則
適用","")</f>
        <v/>
      </c>
      <c r="B46" s="515" t="str">
        <f>IF(C12="ピーク時特例方式","附則2項…⑲","")</f>
        <v/>
      </c>
      <c r="C46" s="516"/>
      <c r="D46" s="88">
        <f>IF(C12="ピーク時特例方式",IF(M39="○",1.04,1),0)</f>
        <v>0</v>
      </c>
      <c r="E46" s="79"/>
      <c r="F46" s="127">
        <f>F45*D46</f>
        <v>0</v>
      </c>
      <c r="O46" s="517" t="s">
        <v>47</v>
      </c>
      <c r="P46" s="518"/>
      <c r="Q46" s="518"/>
      <c r="R46" s="518"/>
      <c r="S46" s="518"/>
      <c r="T46" s="519"/>
      <c r="W46" s="128"/>
      <c r="X46" s="372" t="str">
        <f>IF($C$12="ピーク時特例方式","小　計…⑱","")</f>
        <v/>
      </c>
      <c r="Y46" s="541"/>
      <c r="Z46" s="541"/>
      <c r="AA46" s="373"/>
      <c r="AB46" s="158" t="str">
        <f>IF($C$12="ピーク時特例方式",SUM(AB40:AB45),"")</f>
        <v/>
      </c>
      <c r="AC46" s="159">
        <f>IF($C$12="ピーク時特例方式",SUM(AC40:AC45),0)</f>
        <v>0</v>
      </c>
      <c r="AD46" s="178"/>
      <c r="AE46" s="98"/>
      <c r="AF46" s="98"/>
      <c r="AG46" s="131"/>
      <c r="AH46" s="98"/>
      <c r="AI46" s="98"/>
      <c r="AJ46" s="98"/>
      <c r="AK46" s="128"/>
      <c r="AL46" s="404" t="str">
        <f>IF($C$12="ピーク時特例方式","小　計…⑱","")</f>
        <v/>
      </c>
      <c r="AM46" s="405"/>
      <c r="AN46" s="405"/>
      <c r="AO46" s="406"/>
      <c r="AP46" s="247" t="str">
        <f>IF($C$12="ピーク時特例方式",SUM(AP40:AP45),"")</f>
        <v/>
      </c>
      <c r="AQ46" s="248">
        <f>IF($C$12="ピーク時特例方式",SUM(AQ40:AQ45),0)</f>
        <v>0</v>
      </c>
      <c r="AR46" s="249"/>
      <c r="AS46" s="132"/>
      <c r="AT46" s="132"/>
      <c r="AU46" s="215"/>
      <c r="AV46" s="132"/>
      <c r="AW46" s="132"/>
      <c r="AX46" s="132"/>
      <c r="AY46" s="128"/>
      <c r="AZ46" s="128"/>
      <c r="BA46" s="128"/>
      <c r="BB46" s="128"/>
      <c r="BC46" s="128"/>
      <c r="BD46" s="128"/>
      <c r="BE46" s="128"/>
      <c r="BF46" s="128"/>
      <c r="BG46" s="128"/>
    </row>
    <row r="47" spans="1:59" ht="12" customHeight="1" thickBot="1">
      <c r="A47" s="496"/>
      <c r="B47" s="499" t="str">
        <f>IF(C12="ピーク時特例方式","附則6又は7項…⑳","")</f>
        <v/>
      </c>
      <c r="C47" s="500"/>
      <c r="D47" s="86" t="str">
        <f>IF(C12="ピーク時特例方式",IF(AND($I$12&gt;=$O$48,$I$12&lt;=$R$48),$T$48,IF(AND($I$12&gt;=$O$49,$I$12&lt;=$R$49),$T$49,IF(AND($I$12&gt;=$O$51,$I$12&lt;=$R$51),$T$51,IF(AND($I$12&gt;=$O$52,$I$12&lt;=$R$52),$T$52,IF($I$12&gt;=$O$53,$T$53,"１"))))),"")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E47" s="77"/>
      <c r="F47" s="78"/>
      <c r="I47" s="57"/>
      <c r="J47" s="57"/>
      <c r="K47" s="57"/>
      <c r="L47" s="57"/>
      <c r="O47" s="484" t="s">
        <v>48</v>
      </c>
      <c r="P47" s="520"/>
      <c r="Q47" s="520"/>
      <c r="R47" s="485"/>
      <c r="S47" s="41"/>
      <c r="T47" s="41" t="s">
        <v>49</v>
      </c>
      <c r="W47" s="128"/>
      <c r="X47" s="550" t="str">
        <f>IF($C$12="ピーク時特例方式","附則
適用","")</f>
        <v/>
      </c>
      <c r="Y47" s="546" t="str">
        <f>IF($C$12="ピーク時特例方式","附則2項…⑲","")</f>
        <v/>
      </c>
      <c r="Z47" s="547"/>
      <c r="AA47" s="179">
        <f>IF(C12="ピーク時特例方式",IF(AJ40="○",1.04,1),0)</f>
        <v>0</v>
      </c>
      <c r="AB47" s="178"/>
      <c r="AC47" s="162">
        <f>AC46*AA47</f>
        <v>0</v>
      </c>
      <c r="AD47" s="98"/>
      <c r="AE47" s="98"/>
      <c r="AF47" s="98"/>
      <c r="AG47" s="98"/>
      <c r="AH47" s="98"/>
      <c r="AI47" s="98"/>
      <c r="AJ47" s="98"/>
      <c r="AK47" s="128"/>
      <c r="AL47" s="346" t="str">
        <f>IF($C$12="ピーク時特例方式","附則
適用","")</f>
        <v/>
      </c>
      <c r="AM47" s="388" t="str">
        <f>IF($C$12="ピーク時特例方式","附則2項…⑲","")</f>
        <v/>
      </c>
      <c r="AN47" s="389"/>
      <c r="AO47" s="250">
        <f>IF($C$12="ピーク時特例方式",IF(AX40="○",1.04,1),0)</f>
        <v>0</v>
      </c>
      <c r="AP47" s="249"/>
      <c r="AQ47" s="251">
        <f>AQ46*AO47</f>
        <v>0</v>
      </c>
      <c r="AR47" s="132"/>
      <c r="AS47" s="132"/>
      <c r="AT47" s="132"/>
      <c r="AU47" s="132"/>
      <c r="AV47" s="132"/>
      <c r="AW47" s="132"/>
      <c r="AX47" s="132"/>
      <c r="AY47" s="128"/>
      <c r="AZ47" s="128"/>
      <c r="BA47" s="128"/>
      <c r="BB47" s="128"/>
      <c r="BC47" s="128"/>
      <c r="BD47" s="128"/>
      <c r="BE47" s="128"/>
      <c r="BF47" s="128"/>
      <c r="BG47" s="128"/>
    </row>
    <row r="48" spans="1:59" ht="12" customHeight="1" thickTop="1" thickBot="1">
      <c r="A48" s="503" t="str">
        <f>IF(C12="ピーク時特例方式","給付率合計（⑱×⑲×⑳）…㉑","")</f>
        <v/>
      </c>
      <c r="B48" s="503"/>
      <c r="C48" s="503"/>
      <c r="D48" s="503"/>
      <c r="E48" s="503"/>
      <c r="F48" s="109" t="str">
        <f>IF(C12="ピーク時特例方式",F45*D46*D47,"")</f>
        <v/>
      </c>
      <c r="H48" s="57"/>
      <c r="I48" s="58"/>
      <c r="O48" s="306">
        <v>45383</v>
      </c>
      <c r="P48" s="504" t="s">
        <v>18</v>
      </c>
      <c r="Q48" s="505"/>
      <c r="R48" s="306">
        <v>45747</v>
      </c>
      <c r="S48" s="307"/>
      <c r="T48" s="307">
        <v>0.98494000000000004</v>
      </c>
      <c r="W48" s="128"/>
      <c r="X48" s="375"/>
      <c r="Y48" s="378" t="str">
        <f>IF($C$12="ピーク時特例方式","附則6又は7項…⑳","")</f>
        <v/>
      </c>
      <c r="Z48" s="379"/>
      <c r="AA48" s="165" t="str">
        <f>IF($C$12="ピーク時特例方式",IF(AND($I$12&gt;=$O$48,$I$12&lt;=$R$48),$T$48,IF(AND($I$12&gt;=$O$49,$I$12&lt;=$R$49),$T$49,IF(AND($I$12&gt;=$O$51,$I$12&lt;=$R$51),$T$51,IF(AND($I$12&gt;=$O$52,$I$12&lt;=$R$52),$T$52,IF($I$12&gt;=$O$53,$T$53,"１"))))),"")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AB48" s="166"/>
      <c r="AC48" s="167"/>
      <c r="AD48" s="98"/>
      <c r="AE48" s="98"/>
      <c r="AF48" s="180"/>
      <c r="AG48" s="98" t="s">
        <v>113</v>
      </c>
      <c r="AH48" s="184"/>
      <c r="AI48" s="185">
        <f>AD50</f>
        <v>0</v>
      </c>
      <c r="AJ48" s="186" t="str">
        <f>IF(AI48&gt;AK48,"&gt;",IF(AI48&lt;AK48,"&lt;","="))</f>
        <v>=</v>
      </c>
      <c r="AK48" s="261">
        <f>AR50</f>
        <v>0</v>
      </c>
      <c r="AL48" s="347"/>
      <c r="AM48" s="390" t="str">
        <f>IF($C$12="ピーク時特例方式","附則6又は7項…⑳","")</f>
        <v/>
      </c>
      <c r="AN48" s="391"/>
      <c r="AO48" s="252" t="str">
        <f>IF($C$12="ピーク時特例方式",IF(AND($I$12&gt;=$O$48,$I$12&lt;=$R$48),$T$48,IF(AND($I$12&gt;=$O$49,$I$12&lt;=$R$49),$T$49,IF(AND($I$12&gt;=$O$51,$I$12&lt;=$R$51),$T$51,IF(AND($I$12&gt;=$O$52,$I$12&lt;=$R$52),$T$52,IF($I$12&gt;=$O$53,$T$53,"１"))))),"")</f>
        <v/>
      </c>
      <c r="AP48" s="253"/>
      <c r="AQ48" s="254"/>
      <c r="AR48" s="132"/>
      <c r="AS48" s="132"/>
      <c r="AT48" s="255"/>
      <c r="AU48" s="132"/>
      <c r="AV48" s="132"/>
      <c r="AW48" s="255"/>
      <c r="AX48" s="132"/>
      <c r="AY48" s="128"/>
      <c r="AZ48" s="128"/>
      <c r="BA48" s="128"/>
      <c r="BB48" s="128"/>
      <c r="BC48" s="128"/>
      <c r="BD48" s="128"/>
      <c r="BE48" s="128"/>
      <c r="BF48" s="128"/>
      <c r="BG48" s="128"/>
    </row>
    <row r="49" spans="1:59" ht="12" customHeight="1" thickTop="1">
      <c r="A49" s="506" t="str">
        <f>IF(C12="ピーク時特例方式","旧定年日～退職又は死亡時迄の給付率（㉑－⑰）","")</f>
        <v/>
      </c>
      <c r="B49" s="506"/>
      <c r="C49" s="506"/>
      <c r="D49" s="506"/>
      <c r="E49" s="506"/>
      <c r="F49" s="106">
        <f>IF(C12="ピーク時特例方式",F48-F35,0)</f>
        <v>0</v>
      </c>
      <c r="G49" s="291" t="str">
        <f>IF($C$12&lt;&gt;"ピーク時特例方式","",IF(AND($K$40="",$K$41="",$K$42="",$K$43=""),"（無給付）",""))</f>
        <v/>
      </c>
      <c r="H49" s="57"/>
      <c r="I49" s="19"/>
      <c r="J49" s="19"/>
      <c r="K49" s="19"/>
      <c r="L49" s="19"/>
      <c r="O49" s="308">
        <v>45748</v>
      </c>
      <c r="P49" s="507" t="s">
        <v>18</v>
      </c>
      <c r="Q49" s="508"/>
      <c r="R49" s="308">
        <v>46112</v>
      </c>
      <c r="S49" s="311"/>
      <c r="T49" s="311">
        <v>0.96987999999999996</v>
      </c>
      <c r="W49" s="128"/>
      <c r="X49" s="544" t="str">
        <f>IF($C$12="ピーク時特例方式","給付率合計（⑱×⑲×⑳）…㉑","")</f>
        <v/>
      </c>
      <c r="Y49" s="544"/>
      <c r="Z49" s="544"/>
      <c r="AA49" s="544"/>
      <c r="AB49" s="544"/>
      <c r="AC49" s="181" t="str">
        <f>IF($C$12="ピーク時特例方式",AC46*AA47*AA48,"")</f>
        <v/>
      </c>
      <c r="AE49" s="180"/>
      <c r="AF49" s="182"/>
      <c r="AG49" s="98" t="s">
        <v>35</v>
      </c>
      <c r="AH49" s="98" t="str">
        <f>IF(AD50&lt;AR50,"○",IF(AND(AC50=0,AQ50=0,AC49&lt;AQ49),"○",""))</f>
        <v/>
      </c>
      <c r="AI49" s="98"/>
      <c r="AJ49" s="98"/>
      <c r="AK49" s="128"/>
      <c r="AL49" s="392" t="str">
        <f>IF($C$12="ピーク時特例方式","給付率合計（⑱×⑲×⑳）…㉑","")</f>
        <v/>
      </c>
      <c r="AM49" s="392"/>
      <c r="AN49" s="392"/>
      <c r="AO49" s="392"/>
      <c r="AP49" s="392"/>
      <c r="AQ49" s="256" t="str">
        <f>IF($C$12="ピーク時特例方式",AQ46*AO47*AO48,"")</f>
        <v/>
      </c>
      <c r="AR49" s="257"/>
      <c r="AS49" s="255"/>
      <c r="AT49" s="258"/>
      <c r="AU49" s="132"/>
      <c r="AV49" s="132"/>
      <c r="AW49" s="132"/>
      <c r="AX49" s="132"/>
      <c r="AY49" s="128"/>
      <c r="AZ49" s="128"/>
      <c r="BA49" s="128"/>
      <c r="BB49" s="128"/>
      <c r="BC49" s="128"/>
      <c r="BD49" s="128"/>
      <c r="BE49" s="128"/>
      <c r="BF49" s="128"/>
      <c r="BG49" s="128"/>
    </row>
    <row r="50" spans="1:59" ht="7.5" customHeight="1">
      <c r="A50" s="70"/>
      <c r="B50" s="70"/>
      <c r="C50" s="70"/>
      <c r="D50" s="70"/>
      <c r="E50" s="70"/>
      <c r="F50" s="71"/>
      <c r="G50" s="57"/>
      <c r="H50" s="57"/>
      <c r="I50" s="19"/>
      <c r="J50" s="19"/>
      <c r="K50" s="19"/>
      <c r="L50" s="19"/>
      <c r="O50" s="308"/>
      <c r="P50" s="309"/>
      <c r="Q50" s="310"/>
      <c r="R50" s="308"/>
      <c r="S50" s="311"/>
      <c r="T50" s="311"/>
      <c r="W50" s="128"/>
      <c r="X50" s="506" t="str">
        <f>IF($C$12="ピーク時特例方式","旧定年日～退職又は死亡時迄の給付率（㉑－⑰）","")</f>
        <v/>
      </c>
      <c r="Y50" s="506"/>
      <c r="Z50" s="506"/>
      <c r="AA50" s="506"/>
      <c r="AB50" s="506"/>
      <c r="AC50" s="281">
        <f>IF($C$12="ピーク時特例方式",IF((AC49-AI37)&lt;0,0,AC49-AI37),0)</f>
        <v>0</v>
      </c>
      <c r="AD50" s="183">
        <f>AC50*Z40</f>
        <v>0</v>
      </c>
      <c r="AE50" s="57"/>
      <c r="AF50" s="19"/>
      <c r="AG50" s="278" t="s">
        <v>122</v>
      </c>
      <c r="AH50" s="278"/>
      <c r="AI50" s="278" t="s">
        <v>121</v>
      </c>
      <c r="AK50" s="128"/>
      <c r="AL50" s="393" t="str">
        <f>IF($C$12="ピーク時特例方式","旧定年日～退職又は死亡時迄の給付率（㉑－⑰）","")</f>
        <v/>
      </c>
      <c r="AM50" s="393"/>
      <c r="AN50" s="393"/>
      <c r="AO50" s="393"/>
      <c r="AP50" s="393"/>
      <c r="AQ50" s="280">
        <f>IF($C$12="ピーク時特例方式",IF((AQ49-AI37)&lt;=0,0,AQ49-AI37),0)</f>
        <v>0</v>
      </c>
      <c r="AR50" s="259">
        <f>AQ50*AN40</f>
        <v>0</v>
      </c>
      <c r="AS50" s="260"/>
      <c r="AT50" s="228"/>
      <c r="AU50" s="128"/>
      <c r="AV50" s="128"/>
      <c r="AW50" s="2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</row>
    <row r="51" spans="1:59" ht="26.25" customHeight="1">
      <c r="A51" s="509" t="str">
        <f>IF(C12="ピーク時特例方式","加入～旧定年までの給付率×基準給（⑪×⑰）",IF(C12="制度退会方式","加入～旧定年日（制度退会日）までの給付率×基準給（⑪×⑫)",IF(C12="従前方式","加入～退職日までの給付率×基準給（⑪×⑰)","？？？")))</f>
        <v>？？？</v>
      </c>
      <c r="B51" s="509"/>
      <c r="C51" s="509"/>
      <c r="D51" s="509"/>
      <c r="E51" s="509"/>
      <c r="F51" s="108">
        <f>F35</f>
        <v>0</v>
      </c>
      <c r="G51" s="20" t="s">
        <v>26</v>
      </c>
      <c r="H51" s="21">
        <f>C26</f>
        <v>0</v>
      </c>
      <c r="I51" s="21" t="s">
        <v>27</v>
      </c>
      <c r="J51" s="510">
        <f>G35</f>
        <v>0</v>
      </c>
      <c r="K51" s="510"/>
      <c r="L51" s="510"/>
      <c r="M51" s="21" t="s">
        <v>28</v>
      </c>
      <c r="N51" s="61"/>
      <c r="O51" s="308">
        <v>46113</v>
      </c>
      <c r="P51" s="507" t="s">
        <v>18</v>
      </c>
      <c r="Q51" s="508"/>
      <c r="R51" s="308">
        <v>46477</v>
      </c>
      <c r="S51" s="311"/>
      <c r="T51" s="311">
        <v>0.95482</v>
      </c>
      <c r="W51" s="128"/>
      <c r="X51" s="130"/>
      <c r="Y51" s="128"/>
      <c r="Z51" s="128"/>
      <c r="AA51" s="128"/>
      <c r="AB51" s="128"/>
      <c r="AC51" s="128"/>
      <c r="AD51" s="268">
        <f>INT(Z40*AC50)</f>
        <v>0</v>
      </c>
      <c r="AE51" s="128"/>
      <c r="AF51" s="65" t="s">
        <v>116</v>
      </c>
      <c r="AG51" s="265">
        <f>IF(AC50*Z40&gt;AQ50*AN40,INT(AD50),INT(AR50))</f>
        <v>0</v>
      </c>
      <c r="AI51" s="267">
        <f>IF(AD50&gt;AR50,AC50,AQ50)</f>
        <v>0</v>
      </c>
      <c r="AJ51" s="128"/>
      <c r="AK51" s="128"/>
      <c r="AL51" s="128"/>
      <c r="AM51" s="128"/>
      <c r="AN51" s="128"/>
      <c r="AO51" s="128"/>
      <c r="AP51" s="128"/>
      <c r="AQ51" s="128"/>
      <c r="AR51" s="266">
        <f>AN40*AQ50</f>
        <v>0</v>
      </c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</row>
    <row r="52" spans="1:59" ht="26.25" customHeight="1">
      <c r="A52" s="524" t="str">
        <f>IF(C12="ピーク時特例方式","旧定年日～退職又は死亡時迄の給付率
×基準給（⑬×(㉑－⑰)　※㉑－⑰が0未満の場合は0とします","")</f>
        <v/>
      </c>
      <c r="B52" s="524"/>
      <c r="C52" s="524"/>
      <c r="D52" s="524"/>
      <c r="E52" s="524"/>
      <c r="F52" s="108" t="str">
        <f>IF(C12="ピーク時特例方式",IF(F49&lt;0,0,F49),"")</f>
        <v/>
      </c>
      <c r="G52" s="20" t="str">
        <f>IF(C12="ピーク時特例方式","×","")</f>
        <v/>
      </c>
      <c r="H52" s="22" t="str">
        <f>IF(C12="ピーク時特例方式",C39,"")</f>
        <v/>
      </c>
      <c r="I52" s="21" t="str">
        <f>IF(C12="ピーク時特例方式","＝","")</f>
        <v/>
      </c>
      <c r="J52" s="510" t="str">
        <f>IF(C12="ピーク時特例方式",INT(F52*H52),"")</f>
        <v/>
      </c>
      <c r="K52" s="510"/>
      <c r="L52" s="510"/>
      <c r="M52" s="21" t="str">
        <f>IF(C12="ピーク時特例方式","㉓","")</f>
        <v/>
      </c>
      <c r="N52" s="61"/>
      <c r="O52" s="308">
        <v>46478</v>
      </c>
      <c r="P52" s="507" t="s">
        <v>18</v>
      </c>
      <c r="Q52" s="508"/>
      <c r="R52" s="308">
        <v>46843</v>
      </c>
      <c r="S52" s="311"/>
      <c r="T52" s="311">
        <v>0.93976000000000004</v>
      </c>
      <c r="W52" s="128"/>
      <c r="X52" s="331" t="s">
        <v>35</v>
      </c>
      <c r="Y52" s="63" t="s">
        <v>58</v>
      </c>
      <c r="Z52" s="172">
        <v>0</v>
      </c>
      <c r="AA52" s="172">
        <v>1</v>
      </c>
      <c r="AB52" s="172">
        <v>2</v>
      </c>
      <c r="AC52" s="172">
        <v>3</v>
      </c>
      <c r="AD52" s="65"/>
      <c r="AF52" s="128"/>
      <c r="AG52" s="128"/>
      <c r="AH52" s="128"/>
      <c r="AI52" s="128"/>
      <c r="AJ52" s="128"/>
      <c r="AK52" s="128"/>
      <c r="AL52" s="331" t="s">
        <v>35</v>
      </c>
      <c r="AM52" s="63" t="s">
        <v>58</v>
      </c>
      <c r="AN52" s="172">
        <v>0</v>
      </c>
      <c r="AO52" s="172">
        <v>1</v>
      </c>
      <c r="AP52" s="172">
        <v>2</v>
      </c>
      <c r="AQ52" s="172">
        <v>3</v>
      </c>
      <c r="AR52" s="65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</row>
    <row r="53" spans="1:59" ht="18" customHeight="1">
      <c r="B53" s="23"/>
      <c r="C53" s="23"/>
      <c r="F53" s="89"/>
      <c r="G53" s="103" t="str">
        <f>IF(C12="ピーク時特例方式","給付総額（㉒＋㉓）","給付総額（㉒）")</f>
        <v>給付総額（㉒）</v>
      </c>
      <c r="H53" s="104"/>
      <c r="I53" s="105"/>
      <c r="J53" s="525">
        <f>IF(C12="ピーク時特例方式",J51+J52,J51)</f>
        <v>0</v>
      </c>
      <c r="K53" s="525"/>
      <c r="L53" s="525"/>
      <c r="M53" s="95"/>
      <c r="O53" s="312">
        <v>46844</v>
      </c>
      <c r="P53" s="526" t="s">
        <v>18</v>
      </c>
      <c r="Q53" s="527"/>
      <c r="R53" s="313"/>
      <c r="S53" s="313"/>
      <c r="T53" s="313">
        <v>0.92469999999999997</v>
      </c>
      <c r="X53" s="331"/>
      <c r="Y53" s="64" t="s">
        <v>59</v>
      </c>
      <c r="Z53" s="173">
        <v>1</v>
      </c>
      <c r="AA53" s="173">
        <v>2</v>
      </c>
      <c r="AB53" s="173">
        <v>3</v>
      </c>
      <c r="AC53" s="173"/>
      <c r="AD53" s="65" t="str">
        <f>IF($C$12&lt;&gt;"ピーク時特例方式","適用する率（退職日まで期間)","適用する率（旧定年まで）")</f>
        <v>適用する率（退職日まで期間)</v>
      </c>
      <c r="AE53" s="65" t="str">
        <f>IF($C$12&lt;&gt;"ピーク時特例方式","","適用する率（退職日まで）")</f>
        <v/>
      </c>
      <c r="AF53" s="128"/>
      <c r="AG53" s="128"/>
      <c r="AH53" s="128"/>
      <c r="AI53" s="128"/>
      <c r="AJ53" s="128"/>
      <c r="AK53" s="128"/>
      <c r="AL53" s="331"/>
      <c r="AM53" s="64" t="s">
        <v>59</v>
      </c>
      <c r="AN53" s="173">
        <v>1</v>
      </c>
      <c r="AO53" s="173">
        <v>2</v>
      </c>
      <c r="AP53" s="173">
        <v>3</v>
      </c>
      <c r="AQ53" s="173"/>
      <c r="AR53" s="279" t="str">
        <f>IF($C$12&lt;&gt;"ピーク時特例方式","適用する率（退職日まで期間)","適用する率（旧定年まで）")</f>
        <v>適用する率（退職日まで期間)</v>
      </c>
      <c r="AS53" s="65" t="str">
        <f>IF($C$12&lt;&gt;"ピーク時特例方式","","適用する率（退職日まで）")</f>
        <v/>
      </c>
      <c r="AT53" s="128"/>
      <c r="AU53" s="128"/>
    </row>
    <row r="54" spans="1:59" ht="10.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X54" s="331"/>
      <c r="Y54" s="66"/>
      <c r="Z54" s="171">
        <v>2.7</v>
      </c>
      <c r="AA54" s="171">
        <v>3.6</v>
      </c>
      <c r="AB54" s="171">
        <v>4.5</v>
      </c>
      <c r="AC54" s="171">
        <v>5.4</v>
      </c>
      <c r="AD54" s="65">
        <f>IF($AH$31="○",IF($F$22&lt;Z53*12,Z54,IF(AND($F$22&gt;=AA52*12,$F$22&lt;AA53*12),AA54,IF(AND($F$22&gt;=AB52*12,$F$22&lt;AB53*12),AB54,IF($F$22&gt;=AC52*12,AC54,1)))),0)</f>
        <v>0</v>
      </c>
      <c r="AE54" s="65">
        <f>IF($AH$45="○",IF($G$22&lt;Z53*12,Z54,IF(AND($G$22&gt;=AA52*12,$G$22&lt;AB52*12),AA54,IF(AND($G$22&gt;=AB52*12,$G$22&lt;AB53*12),AB54,IF($G$22&gt;=AC52*12,AC54,1)))),0)</f>
        <v>0</v>
      </c>
      <c r="AF54" s="128"/>
      <c r="AG54" s="128"/>
      <c r="AH54" s="128"/>
      <c r="AI54" s="128"/>
      <c r="AJ54" s="128"/>
      <c r="AK54" s="128"/>
      <c r="AL54" s="331"/>
      <c r="AM54" s="66"/>
      <c r="AN54" s="171">
        <v>2.7</v>
      </c>
      <c r="AO54" s="171">
        <v>3.6</v>
      </c>
      <c r="AP54" s="171">
        <v>4.5</v>
      </c>
      <c r="AQ54" s="171">
        <v>5.4</v>
      </c>
      <c r="AR54" s="65">
        <f>IF($AV$31="○",IF($F$22&lt;AN53*12,AN54,IF(AND($F$22&gt;=AO52*12,$F$22&lt;AP52*12),AO54,IF(AND($F$22&gt;=AP52*12,$F$22&lt;AP53*12),AP54,IF($F$22&gt;=AQ52*12,AQ54,1)))),AQ54)</f>
        <v>2.7</v>
      </c>
      <c r="AS54" s="65">
        <f>IF($AV$45="○",IF($G$22&lt;AN53*12,AN54,IF(AND($G$22&gt;=AO52*12,$G$22&lt;AP52*12),AO54,IF(AND($G$22&gt;=AP52*12,$G$22&lt;AP53*12),AP54,IF($G$22&gt;=AQ52*12,AQ54,1)))),AQ54)</f>
        <v>2.7</v>
      </c>
      <c r="AT54" s="128"/>
      <c r="AU54" s="128"/>
    </row>
    <row r="55" spans="1:59">
      <c r="A55" s="3" t="s">
        <v>21</v>
      </c>
      <c r="C55" s="522"/>
      <c r="D55" s="522"/>
      <c r="E55" s="522"/>
      <c r="F55" s="93"/>
      <c r="H55" s="522"/>
      <c r="I55" s="522"/>
      <c r="J55" s="93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</row>
    <row r="56" spans="1:59" ht="3.75" customHeight="1"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</row>
    <row r="57" spans="1:59" ht="15" customHeight="1">
      <c r="G57" s="24" t="s">
        <v>23</v>
      </c>
      <c r="H57" s="521"/>
      <c r="I57" s="521"/>
      <c r="J57" s="521"/>
      <c r="K57" s="521"/>
      <c r="L57" s="521"/>
      <c r="M57" s="521"/>
      <c r="N57" s="69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277">
        <f>J53</f>
        <v>0</v>
      </c>
      <c r="AJ57" s="128"/>
      <c r="AK57" s="128"/>
      <c r="AL57" s="128"/>
      <c r="AM57" s="128"/>
      <c r="AN57" s="128"/>
      <c r="AO57" s="128"/>
      <c r="AP57" s="128"/>
    </row>
    <row r="58" spans="1:59">
      <c r="B58" s="1" t="s">
        <v>50</v>
      </c>
      <c r="C58" s="94"/>
      <c r="D58" t="s">
        <v>24</v>
      </c>
      <c r="E58" s="522"/>
      <c r="F58" s="522"/>
      <c r="G58" s="1" t="s">
        <v>22</v>
      </c>
      <c r="H58" s="523"/>
      <c r="I58" s="523"/>
      <c r="J58" s="523"/>
      <c r="K58" s="523"/>
      <c r="L58" s="523"/>
      <c r="M58" s="523"/>
      <c r="N58" s="69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</row>
    <row r="59" spans="1:59" ht="6" customHeight="1"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</row>
    <row r="60" spans="1:59">
      <c r="A60" s="117">
        <v>45665</v>
      </c>
      <c r="B60" s="118"/>
      <c r="H60" t="s">
        <v>25</v>
      </c>
      <c r="R60" t="s">
        <v>134</v>
      </c>
      <c r="T60" s="49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</row>
    <row r="61" spans="1:59">
      <c r="R61" s="50">
        <f>$C$12</f>
        <v>0</v>
      </c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</row>
    <row r="62" spans="1:59">
      <c r="Q62" s="115" t="s">
        <v>58</v>
      </c>
      <c r="R62" s="174">
        <v>0</v>
      </c>
      <c r="S62" s="174">
        <v>6</v>
      </c>
      <c r="T62" s="174">
        <v>12</v>
      </c>
      <c r="U62" s="174">
        <v>180</v>
      </c>
      <c r="V62" s="174">
        <v>300</v>
      </c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</row>
    <row r="63" spans="1:59">
      <c r="Q63" s="116" t="s">
        <v>59</v>
      </c>
      <c r="R63" s="175">
        <v>6</v>
      </c>
      <c r="S63" s="175">
        <v>12</v>
      </c>
      <c r="T63" s="175">
        <v>180</v>
      </c>
      <c r="U63" s="175">
        <v>300</v>
      </c>
      <c r="V63" s="175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</row>
    <row r="64" spans="1:59" ht="18.75" customHeight="1">
      <c r="Q64" s="326" t="s">
        <v>77</v>
      </c>
      <c r="R64" s="315" t="str">
        <f>IF($R$61=$R$88,R78,IF($R$61=$R$89,R78,IF($R$61=$R$90,R77,"")))</f>
        <v/>
      </c>
      <c r="S64" s="315" t="str">
        <f>IF($R$61=$R$88,S78,IF($R$61=$R$89,S78,IF($R$61=$R$90,S77,"")))</f>
        <v/>
      </c>
      <c r="T64" s="315" t="str">
        <f>IF($R$61=$R$88,T78,IF($R$61=$R$89,T78,IF($R$61=$R$90,T77,"")))</f>
        <v/>
      </c>
      <c r="U64" s="315" t="str">
        <f>IF($R$61=$R$88,U78,IF($R$61=$R$89,U78,IF($R$61=$R$90,U77,"")))</f>
        <v/>
      </c>
      <c r="V64" s="315" t="str">
        <f>IF($R$61=$R$88,V78,IF($R$61=$R$89,V78,IF($R$61=$R$90,V77,"")))</f>
        <v/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</row>
    <row r="65" spans="17:42">
      <c r="Q65" s="327"/>
      <c r="R65" s="317" t="str">
        <f>IF($R$61=$R$89,R79,IF($R$61=$R$90,R78,""))</f>
        <v/>
      </c>
      <c r="S65" s="317" t="str">
        <f t="shared" ref="S65:V65" si="16">IF($R$61=$R$89,S79,IF($R$61=$R$90,S78,""))</f>
        <v/>
      </c>
      <c r="T65" s="317" t="str">
        <f t="shared" si="16"/>
        <v/>
      </c>
      <c r="U65" s="317" t="str">
        <f t="shared" si="16"/>
        <v/>
      </c>
      <c r="V65" s="317" t="str">
        <f t="shared" si="16"/>
        <v/>
      </c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</row>
    <row r="66" spans="17:42">
      <c r="Q66" s="327"/>
      <c r="R66" s="317" t="str">
        <f t="shared" ref="R66:T66" si="17">IF($R$61=$R$89,R80,IF($R$61=$R$90,R79,""))</f>
        <v/>
      </c>
      <c r="S66" s="317" t="str">
        <f t="shared" si="17"/>
        <v/>
      </c>
      <c r="T66" s="317" t="str">
        <f t="shared" si="17"/>
        <v/>
      </c>
      <c r="U66" s="317" t="str">
        <f>IF($R$61=$R$89,U81,IF($R$61=$R$90,U79,""))</f>
        <v/>
      </c>
      <c r="V66" s="317" t="str">
        <f>IF($R$61=$R$89,V81,IF($R$61=$R$90,V79,""))</f>
        <v/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</row>
    <row r="67" spans="17:42">
      <c r="Q67" s="327"/>
      <c r="R67" s="314" t="str">
        <f t="shared" ref="R67:T67" si="18">IF($R$61=$R$89,R81,IF($R$61=$R$90,R80,""))</f>
        <v/>
      </c>
      <c r="S67" s="317" t="str">
        <f t="shared" si="18"/>
        <v/>
      </c>
      <c r="T67" s="317" t="str">
        <f t="shared" si="18"/>
        <v/>
      </c>
      <c r="U67" s="317" t="str">
        <f>IF($R$61=$R$89,U82,IF($R$61=$R$90,U80,""))</f>
        <v/>
      </c>
      <c r="V67" s="317" t="str">
        <f>IF($R$61=$R$89,V82,IF($R$61=$R$90,V80,""))</f>
        <v/>
      </c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</row>
    <row r="68" spans="17:42">
      <c r="Q68" s="327"/>
      <c r="R68" s="314" t="str">
        <f t="shared" ref="R68:T68" si="19">IF($R$61=$R$89,R82,IF($R$61=$R$90,R81,""))</f>
        <v/>
      </c>
      <c r="S68" s="317" t="str">
        <f t="shared" si="19"/>
        <v/>
      </c>
      <c r="T68" s="317" t="str">
        <f t="shared" si="19"/>
        <v/>
      </c>
      <c r="U68" s="317" t="str">
        <f t="shared" ref="U68:V71" si="20">IF($R$61=$R$89,U83,IF($R$61=$R$90,U82,""))</f>
        <v/>
      </c>
      <c r="V68" s="317" t="str">
        <f t="shared" si="20"/>
        <v/>
      </c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</row>
    <row r="69" spans="17:42">
      <c r="Q69" s="327"/>
      <c r="R69" s="314" t="str">
        <f t="shared" ref="R69:T69" si="21">IF($R$61=$R$89,R83,IF($R$61=$R$90,R82,""))</f>
        <v/>
      </c>
      <c r="S69" s="314" t="str">
        <f t="shared" si="21"/>
        <v/>
      </c>
      <c r="T69" s="317" t="str">
        <f t="shared" si="21"/>
        <v/>
      </c>
      <c r="U69" s="317" t="str">
        <f t="shared" si="20"/>
        <v/>
      </c>
      <c r="V69" s="317" t="str">
        <f t="shared" si="20"/>
        <v/>
      </c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</row>
    <row r="70" spans="17:42">
      <c r="Q70" s="327"/>
      <c r="R70" s="316" t="str">
        <f t="shared" ref="R70:T70" si="22">IF($R$61=$R$89,R84,IF($R$61=$R$90,R83,""))</f>
        <v/>
      </c>
      <c r="S70" s="316" t="str">
        <f t="shared" si="22"/>
        <v/>
      </c>
      <c r="T70" s="316" t="str">
        <f t="shared" si="22"/>
        <v/>
      </c>
      <c r="U70" s="317" t="str">
        <f t="shared" si="20"/>
        <v/>
      </c>
      <c r="V70" s="317" t="str">
        <f t="shared" si="20"/>
        <v/>
      </c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</row>
    <row r="71" spans="17:42">
      <c r="Q71" s="327"/>
      <c r="R71" s="318" t="str">
        <f t="shared" ref="R71:T71" si="23">IF($R$61=$R$89,R85,IF($R$61=$R$90,R84,""))</f>
        <v/>
      </c>
      <c r="S71" s="318" t="str">
        <f t="shared" si="23"/>
        <v/>
      </c>
      <c r="T71" s="318" t="str">
        <f t="shared" si="23"/>
        <v/>
      </c>
      <c r="U71" s="321" t="str">
        <f t="shared" si="20"/>
        <v/>
      </c>
      <c r="V71" s="321" t="str">
        <f t="shared" si="20"/>
        <v/>
      </c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</row>
    <row r="72" spans="17:42">
      <c r="Q72" s="538"/>
      <c r="R72" s="324" t="str">
        <f>IF($R$61=$R$90,R85,"")</f>
        <v/>
      </c>
      <c r="S72" s="324" t="str">
        <f t="shared" ref="S72:T72" si="24">IF($R$61=$R$90,S85,"")</f>
        <v/>
      </c>
      <c r="T72" s="324" t="str">
        <f t="shared" si="24"/>
        <v/>
      </c>
      <c r="U72" s="324" t="str">
        <f>IF($R$61=$R$90,U86,"")</f>
        <v/>
      </c>
      <c r="V72" s="324" t="str">
        <f>IF($R$61=$R$90,V86,"")</f>
        <v/>
      </c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</row>
    <row r="74" spans="17:42">
      <c r="R74" t="s">
        <v>135</v>
      </c>
    </row>
    <row r="75" spans="17:42">
      <c r="Q75" s="115" t="s">
        <v>58</v>
      </c>
      <c r="R75" s="174">
        <v>0</v>
      </c>
      <c r="S75" s="174">
        <v>6</v>
      </c>
      <c r="T75" s="174">
        <v>12</v>
      </c>
      <c r="U75" s="174">
        <v>180</v>
      </c>
      <c r="V75" s="174">
        <v>300</v>
      </c>
    </row>
    <row r="76" spans="17:42">
      <c r="Q76" s="116" t="s">
        <v>59</v>
      </c>
      <c r="R76" s="175">
        <v>6</v>
      </c>
      <c r="S76" s="175">
        <v>12</v>
      </c>
      <c r="T76" s="175">
        <v>180</v>
      </c>
      <c r="U76" s="175">
        <v>300</v>
      </c>
      <c r="V76" s="175"/>
    </row>
    <row r="77" spans="17:42" ht="18.75" customHeight="1">
      <c r="Q77" s="326" t="s">
        <v>77</v>
      </c>
      <c r="R77" s="314" t="s">
        <v>124</v>
      </c>
      <c r="S77" s="314" t="s">
        <v>124</v>
      </c>
      <c r="T77" s="315" t="s">
        <v>66</v>
      </c>
      <c r="U77" s="315" t="s">
        <v>66</v>
      </c>
      <c r="V77" s="315" t="s">
        <v>66</v>
      </c>
    </row>
    <row r="78" spans="17:42">
      <c r="Q78" s="327"/>
      <c r="R78" s="316" t="s">
        <v>129</v>
      </c>
      <c r="S78" s="316" t="s">
        <v>129</v>
      </c>
      <c r="T78" s="316" t="s">
        <v>128</v>
      </c>
      <c r="U78" s="317" t="s">
        <v>72</v>
      </c>
      <c r="V78" s="317" t="s">
        <v>64</v>
      </c>
    </row>
    <row r="79" spans="17:42">
      <c r="Q79" s="327"/>
      <c r="R79" s="318" t="s">
        <v>130</v>
      </c>
      <c r="S79" s="318" t="s">
        <v>130</v>
      </c>
      <c r="T79" s="318" t="s">
        <v>127</v>
      </c>
      <c r="U79" s="317" t="s">
        <v>73</v>
      </c>
      <c r="V79" s="317" t="s">
        <v>75</v>
      </c>
    </row>
    <row r="80" spans="17:42">
      <c r="Q80" s="327"/>
      <c r="R80" s="314" t="s">
        <v>125</v>
      </c>
      <c r="S80" s="315" t="s">
        <v>70</v>
      </c>
      <c r="T80" s="317" t="s">
        <v>70</v>
      </c>
      <c r="U80" s="317" t="s">
        <v>70</v>
      </c>
      <c r="V80" s="317" t="s">
        <v>70</v>
      </c>
    </row>
    <row r="81" spans="17:25">
      <c r="Q81" s="327"/>
      <c r="R81" s="314" t="s">
        <v>126</v>
      </c>
      <c r="S81" s="317" t="s">
        <v>71</v>
      </c>
      <c r="T81" s="317" t="s">
        <v>71</v>
      </c>
      <c r="U81" s="319" t="s">
        <v>143</v>
      </c>
      <c r="V81" s="319" t="s">
        <v>143</v>
      </c>
    </row>
    <row r="82" spans="17:25">
      <c r="Q82" s="327"/>
      <c r="R82" s="315" t="s">
        <v>67</v>
      </c>
      <c r="S82" s="317" t="s">
        <v>67</v>
      </c>
      <c r="T82" s="317" t="s">
        <v>67</v>
      </c>
      <c r="U82" s="317" t="s">
        <v>74</v>
      </c>
      <c r="V82" s="317" t="s">
        <v>76</v>
      </c>
    </row>
    <row r="83" spans="17:25">
      <c r="Q83" s="327"/>
      <c r="R83" s="317" t="s">
        <v>68</v>
      </c>
      <c r="S83" s="317" t="s">
        <v>68</v>
      </c>
      <c r="T83" s="317" t="s">
        <v>68</v>
      </c>
      <c r="U83" s="317" t="s">
        <v>67</v>
      </c>
      <c r="V83" s="317" t="s">
        <v>67</v>
      </c>
    </row>
    <row r="84" spans="17:25">
      <c r="Q84" s="327"/>
      <c r="R84" s="317" t="s">
        <v>69</v>
      </c>
      <c r="S84" s="317" t="s">
        <v>69</v>
      </c>
      <c r="T84" s="317" t="s">
        <v>69</v>
      </c>
      <c r="U84" s="317" t="s">
        <v>68</v>
      </c>
      <c r="V84" s="317" t="s">
        <v>68</v>
      </c>
    </row>
    <row r="85" spans="17:25">
      <c r="Q85" s="327"/>
      <c r="R85" s="320" t="s">
        <v>132</v>
      </c>
      <c r="S85" s="320" t="s">
        <v>132</v>
      </c>
      <c r="T85" s="320" t="s">
        <v>132</v>
      </c>
      <c r="U85" s="321" t="s">
        <v>69</v>
      </c>
      <c r="V85" s="321" t="s">
        <v>69</v>
      </c>
    </row>
    <row r="86" spans="17:25">
      <c r="Q86" s="328"/>
      <c r="R86" s="322"/>
      <c r="S86" s="322"/>
      <c r="T86" s="323"/>
      <c r="U86" s="323" t="s">
        <v>132</v>
      </c>
      <c r="V86" s="323" t="s">
        <v>132</v>
      </c>
    </row>
    <row r="87" spans="17:25">
      <c r="R87" s="294"/>
    </row>
    <row r="88" spans="17:25" ht="39.75" customHeight="1">
      <c r="Q88" s="329" t="s">
        <v>139</v>
      </c>
      <c r="R88" s="325" t="s">
        <v>136</v>
      </c>
    </row>
    <row r="89" spans="17:25" ht="39.75" customHeight="1">
      <c r="Q89" s="330"/>
      <c r="R89" s="325" t="s">
        <v>138</v>
      </c>
    </row>
    <row r="90" spans="17:25" ht="39.75" customHeight="1">
      <c r="Q90" s="330"/>
      <c r="R90" s="325" t="s">
        <v>137</v>
      </c>
      <c r="S90" t="str">
        <f>IF(OR(AND(OR($C$13="業務外傷病",$C$13="業務外死亡（15年未満）"),AND($F$22&gt;=6,$F$22&lt;12)),AND(OR($C$13="整理",$C$13="業務上傷病",$C$13="業務上死亡"),AND($F$22&gt;0,$F$22&lt;12))),"○","")</f>
        <v/>
      </c>
    </row>
    <row r="91" spans="17:25">
      <c r="S91" t="s">
        <v>36</v>
      </c>
      <c r="T91" t="s">
        <v>31</v>
      </c>
      <c r="U91" t="s">
        <v>32</v>
      </c>
      <c r="V91" t="s">
        <v>33</v>
      </c>
      <c r="W91" t="s">
        <v>34</v>
      </c>
      <c r="X91" t="s">
        <v>35</v>
      </c>
      <c r="Y91" t="s">
        <v>133</v>
      </c>
    </row>
    <row r="92" spans="17:25">
      <c r="R92" t="s">
        <v>124</v>
      </c>
    </row>
    <row r="93" spans="17:25">
      <c r="R93" t="s">
        <v>129</v>
      </c>
    </row>
    <row r="94" spans="17:25">
      <c r="R94" t="s">
        <v>130</v>
      </c>
    </row>
    <row r="95" spans="17:25">
      <c r="R95" t="s">
        <v>125</v>
      </c>
    </row>
    <row r="96" spans="17:25">
      <c r="R96" t="s">
        <v>126</v>
      </c>
    </row>
    <row r="97" spans="18:19">
      <c r="R97" t="s">
        <v>67</v>
      </c>
      <c r="S97">
        <v>1</v>
      </c>
    </row>
    <row r="98" spans="18:19">
      <c r="R98" t="s">
        <v>68</v>
      </c>
      <c r="S98">
        <v>1</v>
      </c>
    </row>
    <row r="99" spans="18:19">
      <c r="R99" t="s">
        <v>69</v>
      </c>
    </row>
    <row r="100" spans="18:19">
      <c r="R100" t="s">
        <v>132</v>
      </c>
    </row>
    <row r="101" spans="18:19">
      <c r="R101" t="s">
        <v>70</v>
      </c>
    </row>
    <row r="102" spans="18:19">
      <c r="R102" t="s">
        <v>71</v>
      </c>
      <c r="S102">
        <v>1</v>
      </c>
    </row>
    <row r="103" spans="18:19">
      <c r="R103" t="s">
        <v>66</v>
      </c>
    </row>
    <row r="104" spans="18:19">
      <c r="R104" t="s">
        <v>128</v>
      </c>
    </row>
    <row r="105" spans="18:19">
      <c r="R105" t="s">
        <v>127</v>
      </c>
    </row>
    <row r="106" spans="18:19">
      <c r="R106" t="s">
        <v>72</v>
      </c>
    </row>
    <row r="107" spans="18:19">
      <c r="R107" t="s">
        <v>73</v>
      </c>
    </row>
    <row r="108" spans="18:19">
      <c r="R108" t="s">
        <v>143</v>
      </c>
    </row>
    <row r="109" spans="18:19">
      <c r="R109" t="s">
        <v>74</v>
      </c>
    </row>
    <row r="110" spans="18:19">
      <c r="R110" t="s">
        <v>64</v>
      </c>
    </row>
    <row r="111" spans="18:19">
      <c r="R111" t="s">
        <v>75</v>
      </c>
    </row>
    <row r="112" spans="18:19">
      <c r="R112" t="s">
        <v>76</v>
      </c>
    </row>
  </sheetData>
  <sheetProtection algorithmName="SHA-512" hashValue="XGDvd2Jkq3tvmfs1j4Q7xpEuiBtMuUQM6qz7pMgiy8KxPVu5S+SuUJJ2wbyHyGJURvR/9i0Eu8qM0c0WMiVbVQ==" saltValue="4uorLmNxPTXiOeFa8mzbHA==" spinCount="100000" sheet="1" selectLockedCells="1"/>
  <mergeCells count="187">
    <mergeCell ref="Q64:Q72"/>
    <mergeCell ref="X52:X54"/>
    <mergeCell ref="X50:AB50"/>
    <mergeCell ref="Z28:AA28"/>
    <mergeCell ref="AD28:AE28"/>
    <mergeCell ref="Z29:AA29"/>
    <mergeCell ref="AD29:AE29"/>
    <mergeCell ref="Z30:AA30"/>
    <mergeCell ref="AD30:AE30"/>
    <mergeCell ref="Z31:AA31"/>
    <mergeCell ref="AD31:AE31"/>
    <mergeCell ref="X32:AA32"/>
    <mergeCell ref="AD32:AE32"/>
    <mergeCell ref="X49:AB49"/>
    <mergeCell ref="Z40:AA40"/>
    <mergeCell ref="Z41:AA41"/>
    <mergeCell ref="Z42:AA42"/>
    <mergeCell ref="Z43:AA43"/>
    <mergeCell ref="Z44:AA44"/>
    <mergeCell ref="Y47:Z47"/>
    <mergeCell ref="Z45:AA45"/>
    <mergeCell ref="X46:AA46"/>
    <mergeCell ref="X47:X48"/>
    <mergeCell ref="Y48:Z48"/>
    <mergeCell ref="X25:Y25"/>
    <mergeCell ref="Z25:AA25"/>
    <mergeCell ref="AD25:AE25"/>
    <mergeCell ref="AG25:AH25"/>
    <mergeCell ref="AI25:AJ25"/>
    <mergeCell ref="Z26:AA26"/>
    <mergeCell ref="AD26:AE26"/>
    <mergeCell ref="Z27:AA27"/>
    <mergeCell ref="AD27:AE27"/>
    <mergeCell ref="H57:M57"/>
    <mergeCell ref="E58:F58"/>
    <mergeCell ref="H58:M58"/>
    <mergeCell ref="A52:E52"/>
    <mergeCell ref="J52:L52"/>
    <mergeCell ref="P52:Q52"/>
    <mergeCell ref="J53:L53"/>
    <mergeCell ref="P53:Q53"/>
    <mergeCell ref="C55:E55"/>
    <mergeCell ref="H55:I55"/>
    <mergeCell ref="A48:E48"/>
    <mergeCell ref="P48:Q48"/>
    <mergeCell ref="A49:E49"/>
    <mergeCell ref="P49:Q49"/>
    <mergeCell ref="A51:E51"/>
    <mergeCell ref="J51:L51"/>
    <mergeCell ref="P51:Q51"/>
    <mergeCell ref="A45:D45"/>
    <mergeCell ref="A46:A47"/>
    <mergeCell ref="B46:C46"/>
    <mergeCell ref="O46:T46"/>
    <mergeCell ref="B47:C47"/>
    <mergeCell ref="O47:R47"/>
    <mergeCell ref="C42:D42"/>
    <mergeCell ref="O42:O44"/>
    <mergeCell ref="C43:D43"/>
    <mergeCell ref="C44:D44"/>
    <mergeCell ref="A33:A34"/>
    <mergeCell ref="B33:C33"/>
    <mergeCell ref="B34:C34"/>
    <mergeCell ref="O34:O36"/>
    <mergeCell ref="G35:H35"/>
    <mergeCell ref="A38:B38"/>
    <mergeCell ref="C38:D38"/>
    <mergeCell ref="J38:K38"/>
    <mergeCell ref="L38:M38"/>
    <mergeCell ref="O38:O40"/>
    <mergeCell ref="C40:D40"/>
    <mergeCell ref="C41:D41"/>
    <mergeCell ref="G25:H25"/>
    <mergeCell ref="J25:K25"/>
    <mergeCell ref="L25:M25"/>
    <mergeCell ref="C29:D29"/>
    <mergeCell ref="G29:H29"/>
    <mergeCell ref="C30:D30"/>
    <mergeCell ref="G30:H30"/>
    <mergeCell ref="O30:O32"/>
    <mergeCell ref="C31:D31"/>
    <mergeCell ref="G31:H31"/>
    <mergeCell ref="A32:D32"/>
    <mergeCell ref="G32:H32"/>
    <mergeCell ref="C27:D27"/>
    <mergeCell ref="H2:J2"/>
    <mergeCell ref="H3:J3"/>
    <mergeCell ref="H5:K5"/>
    <mergeCell ref="B7:K7"/>
    <mergeCell ref="A10:B10"/>
    <mergeCell ref="C10:F10"/>
    <mergeCell ref="G10:H10"/>
    <mergeCell ref="I10:L10"/>
    <mergeCell ref="H4:K4"/>
    <mergeCell ref="AN26:AO26"/>
    <mergeCell ref="AR26:AS26"/>
    <mergeCell ref="AN27:AO27"/>
    <mergeCell ref="AR27:AS27"/>
    <mergeCell ref="A11:B11"/>
    <mergeCell ref="C11:F11"/>
    <mergeCell ref="G11:H11"/>
    <mergeCell ref="I11:L11"/>
    <mergeCell ref="C12:F12"/>
    <mergeCell ref="G12:H12"/>
    <mergeCell ref="I12:L12"/>
    <mergeCell ref="C13:F13"/>
    <mergeCell ref="G13:H13"/>
    <mergeCell ref="A14:B14"/>
    <mergeCell ref="C14:D14"/>
    <mergeCell ref="E14:F14"/>
    <mergeCell ref="I14:I15"/>
    <mergeCell ref="J14:L14"/>
    <mergeCell ref="A15:E15"/>
    <mergeCell ref="P25:V25"/>
    <mergeCell ref="A18:E18"/>
    <mergeCell ref="G27:H27"/>
    <mergeCell ref="A25:B25"/>
    <mergeCell ref="C25:D25"/>
    <mergeCell ref="AL25:AM25"/>
    <mergeCell ref="AN25:AO25"/>
    <mergeCell ref="AU39:AV39"/>
    <mergeCell ref="AW39:AX39"/>
    <mergeCell ref="AN40:AO40"/>
    <mergeCell ref="AN41:AO41"/>
    <mergeCell ref="AN42:AO42"/>
    <mergeCell ref="AN43:AO43"/>
    <mergeCell ref="AN44:AO44"/>
    <mergeCell ref="AR35:AS35"/>
    <mergeCell ref="AL39:AM39"/>
    <mergeCell ref="AN39:AO39"/>
    <mergeCell ref="AR28:AS28"/>
    <mergeCell ref="AN29:AO29"/>
    <mergeCell ref="AR29:AS29"/>
    <mergeCell ref="AN30:AO30"/>
    <mergeCell ref="AR30:AS30"/>
    <mergeCell ref="AN31:AO31"/>
    <mergeCell ref="AR31:AS31"/>
    <mergeCell ref="AL32:AO32"/>
    <mergeCell ref="AR32:AS32"/>
    <mergeCell ref="AR25:AS25"/>
    <mergeCell ref="AU25:AV25"/>
    <mergeCell ref="AW25:AX25"/>
    <mergeCell ref="AM47:AN47"/>
    <mergeCell ref="AM48:AN48"/>
    <mergeCell ref="AL49:AP49"/>
    <mergeCell ref="AL50:AP50"/>
    <mergeCell ref="AL33:AL34"/>
    <mergeCell ref="AM33:AN33"/>
    <mergeCell ref="AM34:AN34"/>
    <mergeCell ref="AN28:AO28"/>
    <mergeCell ref="AN45:AO45"/>
    <mergeCell ref="AL46:AO46"/>
    <mergeCell ref="Z39:AA39"/>
    <mergeCell ref="X33:X34"/>
    <mergeCell ref="Y33:Z33"/>
    <mergeCell ref="Y34:Z34"/>
    <mergeCell ref="AD35:AE35"/>
    <mergeCell ref="X39:Y39"/>
    <mergeCell ref="AG39:AH39"/>
    <mergeCell ref="AI39:AJ39"/>
    <mergeCell ref="C28:D28"/>
    <mergeCell ref="G28:H28"/>
    <mergeCell ref="C39:D39"/>
    <mergeCell ref="Q77:Q86"/>
    <mergeCell ref="Q88:Q90"/>
    <mergeCell ref="AL52:AL54"/>
    <mergeCell ref="K13:L13"/>
    <mergeCell ref="A20:E20"/>
    <mergeCell ref="G14:H20"/>
    <mergeCell ref="K20:L20"/>
    <mergeCell ref="G21:H21"/>
    <mergeCell ref="B21:F21"/>
    <mergeCell ref="AL47:AL48"/>
    <mergeCell ref="I18:I19"/>
    <mergeCell ref="J18:L18"/>
    <mergeCell ref="A19:E19"/>
    <mergeCell ref="J19:L19"/>
    <mergeCell ref="K21:L21"/>
    <mergeCell ref="J15:L15"/>
    <mergeCell ref="A16:E16"/>
    <mergeCell ref="I16:I17"/>
    <mergeCell ref="J16:L16"/>
    <mergeCell ref="A17:E17"/>
    <mergeCell ref="J17:L17"/>
    <mergeCell ref="C26:D26"/>
    <mergeCell ref="G26:H26"/>
    <mergeCell ref="O26:O28"/>
  </mergeCells>
  <phoneticPr fontId="5"/>
  <conditionalFormatting sqref="A17:E17">
    <cfRule type="expression" dxfId="237" priority="333">
      <formula>C12&lt;&gt;"ピーク時特例方式"</formula>
    </cfRule>
  </conditionalFormatting>
  <conditionalFormatting sqref="A18:E18">
    <cfRule type="expression" dxfId="236" priority="331">
      <formula>"c12&lt;&gt;""ピーク時特例方式"""</formula>
    </cfRule>
    <cfRule type="expression" dxfId="235" priority="332">
      <formula>C12&lt;&gt;"ピーク時特例方式"</formula>
    </cfRule>
  </conditionalFormatting>
  <conditionalFormatting sqref="A19:E19">
    <cfRule type="expression" dxfId="234" priority="253">
      <formula>$A$19=""</formula>
    </cfRule>
  </conditionalFormatting>
  <conditionalFormatting sqref="A20:E20">
    <cfRule type="expression" dxfId="233" priority="23">
      <formula>OR($C$12&lt;&gt;"ピーク時特例方式",AND($C$13&lt;&gt;"整理",$C$13&lt;&gt;"業務上傷病",$C$13&lt;&gt;"業務上死亡"))</formula>
    </cfRule>
  </conditionalFormatting>
  <conditionalFormatting sqref="A49:E49">
    <cfRule type="expression" dxfId="232" priority="298">
      <formula>C12&lt;&gt;"ピーク時特例方式"</formula>
    </cfRule>
  </conditionalFormatting>
  <conditionalFormatting sqref="A52:E52">
    <cfRule type="expression" dxfId="231" priority="387">
      <formula>C12&lt;&gt;"ピーク時特例方式"</formula>
    </cfRule>
  </conditionalFormatting>
  <conditionalFormatting sqref="A38:F48">
    <cfRule type="expression" dxfId="230" priority="382">
      <formula>$C$12&lt;&gt;"ピーク時特例方式"</formula>
    </cfRule>
  </conditionalFormatting>
  <conditionalFormatting sqref="B27">
    <cfRule type="expression" dxfId="229" priority="362">
      <formula>$B$27=0</formula>
    </cfRule>
  </conditionalFormatting>
  <conditionalFormatting sqref="B28">
    <cfRule type="expression" dxfId="228" priority="361">
      <formula>$B$28=0</formula>
    </cfRule>
  </conditionalFormatting>
  <conditionalFormatting sqref="B29">
    <cfRule type="expression" dxfId="227" priority="360">
      <formula>$B$29=0</formula>
    </cfRule>
  </conditionalFormatting>
  <conditionalFormatting sqref="B30">
    <cfRule type="expression" dxfId="226" priority="359">
      <formula>$B$30=0</formula>
    </cfRule>
  </conditionalFormatting>
  <conditionalFormatting sqref="B31">
    <cfRule type="expression" dxfId="225" priority="358">
      <formula>$B$31=0</formula>
    </cfRule>
  </conditionalFormatting>
  <conditionalFormatting sqref="B39">
    <cfRule type="expression" dxfId="224" priority="400">
      <formula>$B$39=0</formula>
    </cfRule>
  </conditionalFormatting>
  <conditionalFormatting sqref="B40">
    <cfRule type="expression" dxfId="223" priority="380">
      <formula>$B$40=0</formula>
    </cfRule>
  </conditionalFormatting>
  <conditionalFormatting sqref="B41">
    <cfRule type="expression" dxfId="222" priority="379">
      <formula>$B$41=0</formula>
    </cfRule>
  </conditionalFormatting>
  <conditionalFormatting sqref="B42">
    <cfRule type="expression" dxfId="221" priority="378">
      <formula>$B$42=0</formula>
    </cfRule>
  </conditionalFormatting>
  <conditionalFormatting sqref="B43">
    <cfRule type="expression" dxfId="220" priority="377">
      <formula>$B$43=0</formula>
    </cfRule>
  </conditionalFormatting>
  <conditionalFormatting sqref="B44">
    <cfRule type="expression" dxfId="219" priority="376">
      <formula>$B$44=0</formula>
    </cfRule>
  </conditionalFormatting>
  <conditionalFormatting sqref="B21:F21">
    <cfRule type="expression" dxfId="218" priority="16">
      <formula>$B$21&lt;&gt;""</formula>
    </cfRule>
  </conditionalFormatting>
  <conditionalFormatting sqref="C14">
    <cfRule type="expression" dxfId="217" priority="392">
      <formula>$C$14=""</formula>
    </cfRule>
  </conditionalFormatting>
  <conditionalFormatting sqref="C28">
    <cfRule type="expression" dxfId="216" priority="366">
      <formula>$C$28=0</formula>
    </cfRule>
  </conditionalFormatting>
  <conditionalFormatting sqref="C29">
    <cfRule type="expression" dxfId="215" priority="365">
      <formula>$C$29=0</formula>
    </cfRule>
  </conditionalFormatting>
  <conditionalFormatting sqref="C30">
    <cfRule type="expression" dxfId="214" priority="364">
      <formula>$C$30=0</formula>
    </cfRule>
  </conditionalFormatting>
  <conditionalFormatting sqref="C31">
    <cfRule type="expression" dxfId="213" priority="363">
      <formula>$C$31=0</formula>
    </cfRule>
  </conditionalFormatting>
  <conditionalFormatting sqref="C14:D14">
    <cfRule type="expression" dxfId="212" priority="15">
      <formula>AND($C$14="ア．本人",OR($C$13="業務上死亡",$C$13="業務外死亡（15年未満）",$C$13="業務外死亡（15年以上25年未満）",$C$13="業務外死亡（25年以上）"))</formula>
    </cfRule>
  </conditionalFormatting>
  <conditionalFormatting sqref="C26:D26">
    <cfRule type="expression" dxfId="211" priority="351">
      <formula>$C$26=0</formula>
    </cfRule>
  </conditionalFormatting>
  <conditionalFormatting sqref="C27:D27">
    <cfRule type="expression" dxfId="210" priority="350">
      <formula>$C$27=0</formula>
    </cfRule>
  </conditionalFormatting>
  <conditionalFormatting sqref="C39:D39">
    <cfRule type="expression" dxfId="209" priority="357">
      <formula>$C$39=0</formula>
    </cfRule>
  </conditionalFormatting>
  <conditionalFormatting sqref="C40:D40">
    <cfRule type="expression" dxfId="208" priority="356">
      <formula>$C$40=0</formula>
    </cfRule>
  </conditionalFormatting>
  <conditionalFormatting sqref="C41:D41">
    <cfRule type="expression" dxfId="207" priority="355">
      <formula>$C$41=0</formula>
    </cfRule>
  </conditionalFormatting>
  <conditionalFormatting sqref="C42:D42">
    <cfRule type="expression" dxfId="206" priority="354">
      <formula>$C$42=0</formula>
    </cfRule>
  </conditionalFormatting>
  <conditionalFormatting sqref="C43:D43">
    <cfRule type="expression" dxfId="205" priority="353">
      <formula>$C$43=0</formula>
    </cfRule>
  </conditionalFormatting>
  <conditionalFormatting sqref="C44:D44">
    <cfRule type="expression" dxfId="204" priority="352">
      <formula>$C$44=0</formula>
    </cfRule>
  </conditionalFormatting>
  <conditionalFormatting sqref="C10:F10">
    <cfRule type="expression" dxfId="203" priority="396">
      <formula>$C$10=""</formula>
    </cfRule>
  </conditionalFormatting>
  <conditionalFormatting sqref="C11:F11">
    <cfRule type="expression" dxfId="202" priority="395">
      <formula>$C$11=""</formula>
    </cfRule>
  </conditionalFormatting>
  <conditionalFormatting sqref="C12:F12">
    <cfRule type="expression" dxfId="201" priority="394">
      <formula>$C$12=""</formula>
    </cfRule>
  </conditionalFormatting>
  <conditionalFormatting sqref="C13:F13">
    <cfRule type="expression" dxfId="200" priority="393">
      <formula>OR(AND($E$22&lt;$R$63,$C$13&lt;&gt;$R$64,$C$13&lt;&gt;$R$65,$C$13&lt;&gt;$R$66,$C$13&lt;&gt;$R$67,$C$13&lt;&gt;$R$68,$C$13&lt;&gt;$R$69,$C$13&lt;&gt;$R$70,$C$13&lt;&gt;$R$71,$C$13&lt;&gt;$R$72),AND($E$22&gt;=$S$62,$E$22&lt;$S$63,$C$13&lt;&gt;$S$64,$C$13&lt;&gt;$S$65,$C$13&lt;&gt;$S$66,$C$13&lt;&gt;$S$67,$C$13&lt;&gt;$S$68,$C$13&lt;&gt;$S$69,$C$13&lt;&gt;$S$70,$C$13&lt;&gt;$S$71,$C$13&lt;&gt;$S$72),AND($E$22&gt;=$T$62,$E$22&lt;$T$63,$C$13&lt;&gt;$T$64,$C$13&lt;&gt;$T$65,$C$13&lt;&gt;$T$66,$C$13&lt;&gt;$T$67,$C$13&lt;&gt;$T$68,$C$13&lt;&gt;$T$69,$C$13&lt;&gt;$T$70,$C$13&lt;&gt;$T$71,$C$13&lt;&gt;$T$72),AND($E$22&gt;=$U$62,$E$22&lt;$U$63,$C$13&lt;&gt;$U$64,$C$13&lt;&gt;$U$65,$C$13&lt;&gt;$U$66,$C$13&lt;&gt;$U$67,$C$13&lt;&gt;$U$68,$C$13&lt;&gt;$U$69,$C$13&lt;&gt;$U$70,$C$13&lt;&gt;$U$71,$C$13&lt;&gt;$U$72),AND($E$22&gt;=$V$62,$C$13&lt;&gt;$V$64,$C$13&lt;&gt;$V$65,$C$13&lt;&gt;$V$66,$C$13&lt;&gt;$V$67,$C$13&lt;&gt;$V$68,$C$13&lt;&gt;$V$69,$C$13&lt;&gt;$V$70,$C$13&lt;&gt;$V$71,$C$13&lt;&gt;$V$72))</formula>
    </cfRule>
    <cfRule type="expression" dxfId="199" priority="294">
      <formula>$C$13=""</formula>
    </cfRule>
  </conditionalFormatting>
  <conditionalFormatting sqref="C55:F55 H55:J55 H57:M58 C58 E58:F58">
    <cfRule type="cellIs" dxfId="198" priority="403" operator="equal">
      <formula>""</formula>
    </cfRule>
  </conditionalFormatting>
  <conditionalFormatting sqref="D46">
    <cfRule type="expression" dxfId="197" priority="369">
      <formula>$D$46=0</formula>
    </cfRule>
  </conditionalFormatting>
  <conditionalFormatting sqref="E14">
    <cfRule type="expression" dxfId="196" priority="391">
      <formula>AND($C$14="イ．その他 　　　　　　　　　（右欄のとおり）",$E$14="")</formula>
    </cfRule>
    <cfRule type="expression" dxfId="195" priority="401">
      <formula>$C$14="ア．本人"</formula>
    </cfRule>
  </conditionalFormatting>
  <conditionalFormatting sqref="E27">
    <cfRule type="expression" dxfId="194" priority="349">
      <formula>$E$27=0</formula>
    </cfRule>
  </conditionalFormatting>
  <conditionalFormatting sqref="E28">
    <cfRule type="expression" dxfId="193" priority="348">
      <formula>$E$28=0</formula>
    </cfRule>
  </conditionalFormatting>
  <conditionalFormatting sqref="E29">
    <cfRule type="expression" dxfId="192" priority="347">
      <formula>$E$29=0</formula>
    </cfRule>
  </conditionalFormatting>
  <conditionalFormatting sqref="E30">
    <cfRule type="expression" dxfId="191" priority="346">
      <formula>$E$30=0</formula>
    </cfRule>
  </conditionalFormatting>
  <conditionalFormatting sqref="E31">
    <cfRule type="expression" dxfId="190" priority="345">
      <formula>$E$31=0</formula>
    </cfRule>
  </conditionalFormatting>
  <conditionalFormatting sqref="E39">
    <cfRule type="expression" dxfId="189" priority="375">
      <formula>$E$39=0</formula>
    </cfRule>
  </conditionalFormatting>
  <conditionalFormatting sqref="E40">
    <cfRule type="expression" dxfId="188" priority="374">
      <formula>$E$40=0</formula>
    </cfRule>
  </conditionalFormatting>
  <conditionalFormatting sqref="E41">
    <cfRule type="expression" dxfId="187" priority="373">
      <formula>$E$41=0</formula>
    </cfRule>
  </conditionalFormatting>
  <conditionalFormatting sqref="E42">
    <cfRule type="expression" dxfId="186" priority="372">
      <formula>$E$42=0</formula>
    </cfRule>
  </conditionalFormatting>
  <conditionalFormatting sqref="E43">
    <cfRule type="expression" dxfId="185" priority="371">
      <formula>$E$43=0</formula>
    </cfRule>
  </conditionalFormatting>
  <conditionalFormatting sqref="E44">
    <cfRule type="expression" dxfId="184" priority="370">
      <formula>$E$44=0</formula>
    </cfRule>
  </conditionalFormatting>
  <conditionalFormatting sqref="F15">
    <cfRule type="expression" dxfId="183" priority="390">
      <formula>$F$15=0</formula>
    </cfRule>
  </conditionalFormatting>
  <conditionalFormatting sqref="F16">
    <cfRule type="expression" dxfId="182" priority="389">
      <formula>$F$16=0</formula>
    </cfRule>
  </conditionalFormatting>
  <conditionalFormatting sqref="F17">
    <cfRule type="expression" dxfId="181" priority="384">
      <formula>AND($C$12="ピーク時特例方式",$F$17="")</formula>
    </cfRule>
  </conditionalFormatting>
  <conditionalFormatting sqref="F17:F18">
    <cfRule type="expression" dxfId="180" priority="402">
      <formula>$C$12&lt;&gt;"ピーク時特例方式"</formula>
    </cfRule>
  </conditionalFormatting>
  <conditionalFormatting sqref="F18">
    <cfRule type="expression" dxfId="179" priority="383">
      <formula>AND($C$12="ピーク時特例方式",$F$18="")</formula>
    </cfRule>
  </conditionalFormatting>
  <conditionalFormatting sqref="F19">
    <cfRule type="expression" dxfId="178" priority="19">
      <formula>AND($F$19="",OR($C$13="整理",$C$13="業務上傷病",$C$13="業務上死亡"))</formula>
    </cfRule>
    <cfRule type="expression" dxfId="177" priority="406">
      <formula>AND($C$13&lt;&gt;"整理",$C$13&lt;&gt;"業務上傷病",$C$13&lt;&gt;"業務上死亡")</formula>
    </cfRule>
  </conditionalFormatting>
  <conditionalFormatting sqref="F20">
    <cfRule type="expression" dxfId="176" priority="18">
      <formula>AND($C$12="ピーク時特例方式",$F$20="",OR($C$13="整理",$C$13="業務上傷病",$C$13="業務上死亡"))</formula>
    </cfRule>
    <cfRule type="expression" dxfId="175" priority="21">
      <formula>OR($C$12&lt;&gt;"ピーク時特例方式",AND($C$13&lt;&gt;"整理",$C$13&lt;&gt;"業務上傷病",$C$13&lt;&gt;"業務上死亡"))</formula>
    </cfRule>
  </conditionalFormatting>
  <conditionalFormatting sqref="F27">
    <cfRule type="expression" dxfId="174" priority="344">
      <formula>$F$27=0</formula>
    </cfRule>
  </conditionalFormatting>
  <conditionalFormatting sqref="F28">
    <cfRule type="expression" dxfId="173" priority="343">
      <formula>$F$28=0</formula>
    </cfRule>
  </conditionalFormatting>
  <conditionalFormatting sqref="F29">
    <cfRule type="expression" dxfId="172" priority="342">
      <formula>$F$29=0</formula>
    </cfRule>
  </conditionalFormatting>
  <conditionalFormatting sqref="F30">
    <cfRule type="expression" dxfId="171" priority="341">
      <formula>$F$30=0</formula>
    </cfRule>
  </conditionalFormatting>
  <conditionalFormatting sqref="F31">
    <cfRule type="expression" dxfId="170" priority="340">
      <formula>$F$31=0</formula>
    </cfRule>
  </conditionalFormatting>
  <conditionalFormatting sqref="F40">
    <cfRule type="expression" dxfId="169" priority="5">
      <formula>$F$40=0</formula>
    </cfRule>
  </conditionalFormatting>
  <conditionalFormatting sqref="F41">
    <cfRule type="expression" dxfId="168" priority="6">
      <formula>$F$41=0</formula>
    </cfRule>
  </conditionalFormatting>
  <conditionalFormatting sqref="F42">
    <cfRule type="expression" dxfId="167" priority="7">
      <formula>$F$42=0</formula>
    </cfRule>
  </conditionalFormatting>
  <conditionalFormatting sqref="F43">
    <cfRule type="expression" dxfId="166" priority="9">
      <formula>$F$43=0</formula>
    </cfRule>
  </conditionalFormatting>
  <conditionalFormatting sqref="F44">
    <cfRule type="expression" dxfId="165" priority="8">
      <formula>$F$44=0</formula>
    </cfRule>
  </conditionalFormatting>
  <conditionalFormatting sqref="F45">
    <cfRule type="expression" dxfId="164" priority="368">
      <formula>$F$45=0</formula>
    </cfRule>
  </conditionalFormatting>
  <conditionalFormatting sqref="F46">
    <cfRule type="expression" dxfId="163" priority="367">
      <formula>$F$46=0</formula>
    </cfRule>
  </conditionalFormatting>
  <conditionalFormatting sqref="F49">
    <cfRule type="expression" dxfId="162" priority="299">
      <formula>C12&lt;&gt;"ピーク時特例方式"</formula>
    </cfRule>
  </conditionalFormatting>
  <conditionalFormatting sqref="F52">
    <cfRule type="expression" dxfId="161" priority="330">
      <formula>C12&lt;&gt;"ピーク時特例方式"</formula>
    </cfRule>
  </conditionalFormatting>
  <conditionalFormatting sqref="G52">
    <cfRule type="expression" dxfId="160" priority="329">
      <formula>C12&lt;&gt;"ピーク時特例方式"</formula>
    </cfRule>
  </conditionalFormatting>
  <conditionalFormatting sqref="G12:H12">
    <cfRule type="expression" dxfId="159" priority="398">
      <formula>C12&lt;&gt;"ピーク時特例方式"</formula>
    </cfRule>
  </conditionalFormatting>
  <conditionalFormatting sqref="G27:H27">
    <cfRule type="expression" dxfId="158" priority="338">
      <formula>$G$27=0</formula>
    </cfRule>
  </conditionalFormatting>
  <conditionalFormatting sqref="G28:H28">
    <cfRule type="expression" dxfId="157" priority="337">
      <formula>$G$28=0</formula>
    </cfRule>
  </conditionalFormatting>
  <conditionalFormatting sqref="G29:H29">
    <cfRule type="expression" dxfId="156" priority="336">
      <formula>$G$29=0</formula>
    </cfRule>
  </conditionalFormatting>
  <conditionalFormatting sqref="G30:H30">
    <cfRule type="expression" dxfId="155" priority="335">
      <formula>$G$30=0</formula>
    </cfRule>
  </conditionalFormatting>
  <conditionalFormatting sqref="G31:H31">
    <cfRule type="expression" dxfId="154" priority="334">
      <formula>$G$31=0</formula>
    </cfRule>
  </conditionalFormatting>
  <conditionalFormatting sqref="H2:H5">
    <cfRule type="cellIs" dxfId="153" priority="404" operator="equal">
      <formula>""</formula>
    </cfRule>
  </conditionalFormatting>
  <conditionalFormatting sqref="H52">
    <cfRule type="expression" dxfId="152" priority="325">
      <formula>C12&lt;&gt;"ピーク時特例方式"</formula>
    </cfRule>
  </conditionalFormatting>
  <conditionalFormatting sqref="I52">
    <cfRule type="expression" dxfId="151" priority="328">
      <formula>C12&lt;&gt;"ピーク時特例方式"</formula>
    </cfRule>
  </conditionalFormatting>
  <conditionalFormatting sqref="I10:L10">
    <cfRule type="expression" dxfId="150" priority="386">
      <formula>$I$10=""</formula>
    </cfRule>
  </conditionalFormatting>
  <conditionalFormatting sqref="I11:L11">
    <cfRule type="expression" dxfId="149" priority="385">
      <formula>$I$11&lt;=$I$10</formula>
    </cfRule>
    <cfRule type="expression" dxfId="148" priority="282">
      <formula>$I$11=""</formula>
    </cfRule>
  </conditionalFormatting>
  <conditionalFormatting sqref="I12:L12">
    <cfRule type="expression" dxfId="147" priority="397">
      <formula>AND($I$12&lt;$I$11,$C$12="ピーク時特例方式")</formula>
    </cfRule>
    <cfRule type="expression" dxfId="146" priority="399">
      <formula>C12&lt;&gt;"ピーク時特例方式"</formula>
    </cfRule>
  </conditionalFormatting>
  <conditionalFormatting sqref="J39">
    <cfRule type="expression" dxfId="145" priority="323">
      <formula>C12&lt;&gt;"ピーク時特例方式"</formula>
    </cfRule>
  </conditionalFormatting>
  <conditionalFormatting sqref="J40">
    <cfRule type="expression" dxfId="144" priority="321">
      <formula>C12&lt;&gt;"ピーク時特例方式"</formula>
    </cfRule>
  </conditionalFormatting>
  <conditionalFormatting sqref="J41">
    <cfRule type="expression" dxfId="143" priority="320">
      <formula>C12&lt;&gt;"ピーク時特例方式"</formula>
    </cfRule>
  </conditionalFormatting>
  <conditionalFormatting sqref="J42">
    <cfRule type="expression" dxfId="142" priority="319">
      <formula>C12&lt;&gt;"ピーク時特例方式"</formula>
    </cfRule>
  </conditionalFormatting>
  <conditionalFormatting sqref="J43">
    <cfRule type="expression" dxfId="141" priority="318">
      <formula>C12&lt;&gt;"ピーク時特例方式"</formula>
    </cfRule>
  </conditionalFormatting>
  <conditionalFormatting sqref="J44">
    <cfRule type="expression" dxfId="140" priority="10">
      <formula>C12&lt;&gt;"ピーク時特例方式"</formula>
    </cfRule>
  </conditionalFormatting>
  <conditionalFormatting sqref="J45">
    <cfRule type="expression" dxfId="139" priority="14">
      <formula>C12&lt;&gt;"ピーク時特例方式"</formula>
    </cfRule>
  </conditionalFormatting>
  <conditionalFormatting sqref="J38:K38">
    <cfRule type="expression" dxfId="138" priority="324">
      <formula>C12&lt;&gt;"ピーク時特例方式"</formula>
    </cfRule>
  </conditionalFormatting>
  <conditionalFormatting sqref="J14:L14">
    <cfRule type="expression" dxfId="137" priority="292">
      <formula>AND(J14=0,J15&gt;0)</formula>
    </cfRule>
    <cfRule type="expression" dxfId="136" priority="293">
      <formula>OR(AND($C$12&lt;&gt;"ピーク時特例方式",OR(AND(J14&lt;$I$10,J14&gt;0),J14&gt;$I$11)),AND($C$12="ピーク時特例方式",OR(AND(J14&lt;$I$10,J14&gt;0),J14&gt;$I$12)))</formula>
    </cfRule>
  </conditionalFormatting>
  <conditionalFormatting sqref="J15:L15">
    <cfRule type="expression" dxfId="135" priority="291">
      <formula>AND(J14&gt;0,J15="")</formula>
    </cfRule>
    <cfRule type="expression" dxfId="134" priority="388">
      <formula>OR(AND($C$12&lt;&gt;"ピーク時特例方式",OR(J14&gt;J15,$I$11&lt;J15)),AND($C$12="ピーク時特例方式",OR(J14&gt;J15,$I$12&lt;J15)))</formula>
    </cfRule>
  </conditionalFormatting>
  <conditionalFormatting sqref="J16:L16">
    <cfRule type="expression" dxfId="133" priority="290">
      <formula>OR(AND($C$12&lt;&gt;"ピーク時特例方式",OR(AND(J16&lt;J15,J16&gt;0),J16&gt;$I$11)),AND($C$12="ピーク時特例方式",OR(AND(J16&lt;J15,J16&gt;0),J16&gt;$I$12)))</formula>
    </cfRule>
    <cfRule type="expression" dxfId="132" priority="289">
      <formula>AND(J16="",J17&gt;0)</formula>
    </cfRule>
  </conditionalFormatting>
  <conditionalFormatting sqref="J17:L17">
    <cfRule type="expression" dxfId="131" priority="288">
      <formula>OR(AND($C$12&lt;&gt;"ピーク時特例方式",OR(J16&gt;J17,$I$11&lt;J17)),AND($C$12="ピーク時特例方式",OR(J16&gt;J17,$I$12&lt;J17)))</formula>
    </cfRule>
    <cfRule type="expression" dxfId="130" priority="287">
      <formula>AND(J16&gt;0,J17="")</formula>
    </cfRule>
  </conditionalFormatting>
  <conditionalFormatting sqref="J18:L18">
    <cfRule type="expression" dxfId="129" priority="286">
      <formula>OR(AND($C$12&lt;&gt;"ピーク時特例方式",OR(AND(J18&lt;J17,J18&gt;0),J18&gt;$I$11)),AND($C$12="ピーク時特例方式",OR(AND(J18&lt;J17,J18&gt;0),J18&gt;$I$12)))</formula>
    </cfRule>
    <cfRule type="expression" dxfId="128" priority="285">
      <formula>AND(J18="",J19&gt;0)</formula>
    </cfRule>
  </conditionalFormatting>
  <conditionalFormatting sqref="J19:L19">
    <cfRule type="expression" dxfId="127" priority="283">
      <formula>AND(J18&gt;0,J19="")</formula>
    </cfRule>
    <cfRule type="expression" dxfId="126" priority="284">
      <formula>OR(AND($C$12&lt;&gt;"ピーク時特例方式",OR(J18&gt;J19,$I$11&lt;J19)),AND($C$12="ピーク時特例方式",OR(J18&gt;J19,$I$12&lt;J19)))</formula>
    </cfRule>
  </conditionalFormatting>
  <conditionalFormatting sqref="J52:L52">
    <cfRule type="expression" dxfId="125" priority="327">
      <formula>C12&lt;&gt;"ピーク時特例方式"</formula>
    </cfRule>
  </conditionalFormatting>
  <conditionalFormatting sqref="K13">
    <cfRule type="expression" dxfId="124" priority="281">
      <formula>$C$12&lt;&gt;"ピーク時特例方式"</formula>
    </cfRule>
  </conditionalFormatting>
  <conditionalFormatting sqref="K39">
    <cfRule type="expression" dxfId="123" priority="322">
      <formula>C12&lt;&gt;"ピーク時特例方式"</formula>
    </cfRule>
  </conditionalFormatting>
  <conditionalFormatting sqref="K40">
    <cfRule type="expression" dxfId="122" priority="316">
      <formula>C12&lt;&gt;"ピーク時特例方式"</formula>
    </cfRule>
  </conditionalFormatting>
  <conditionalFormatting sqref="K41">
    <cfRule type="expression" dxfId="121" priority="315">
      <formula>C12&lt;&gt;"ピーク時特例方式"</formula>
    </cfRule>
  </conditionalFormatting>
  <conditionalFormatting sqref="K42">
    <cfRule type="expression" dxfId="120" priority="296">
      <formula>C12&lt;&gt;"ピーク時特例方式"</formula>
    </cfRule>
  </conditionalFormatting>
  <conditionalFormatting sqref="K43">
    <cfRule type="expression" dxfId="119" priority="314">
      <formula>C12&lt;&gt;"ピーク時特例方式"</formula>
    </cfRule>
  </conditionalFormatting>
  <conditionalFormatting sqref="K44">
    <cfRule type="expression" dxfId="118" priority="313">
      <formula>C12&lt;&gt;"ピーク時特例方式"</formula>
    </cfRule>
  </conditionalFormatting>
  <conditionalFormatting sqref="K45">
    <cfRule type="expression" dxfId="117" priority="13">
      <formula>C12&lt;&gt;"ピーク時特例方式"</formula>
    </cfRule>
  </conditionalFormatting>
  <conditionalFormatting sqref="K20:L21">
    <cfRule type="expression" dxfId="116" priority="24">
      <formula>$C$12&lt;&gt;"ピーク時特例方式"</formula>
    </cfRule>
  </conditionalFormatting>
  <conditionalFormatting sqref="L39">
    <cfRule type="expression" dxfId="115" priority="311">
      <formula>C12&lt;&gt;"ピーク時特例方式"</formula>
    </cfRule>
  </conditionalFormatting>
  <conditionalFormatting sqref="L40">
    <cfRule type="expression" dxfId="114" priority="309">
      <formula>C12&lt;&gt;"ピーク時特例方式"</formula>
    </cfRule>
  </conditionalFormatting>
  <conditionalFormatting sqref="L41">
    <cfRule type="expression" dxfId="113" priority="307">
      <formula>C12&lt;&gt;"ピーク時特例方式"</formula>
    </cfRule>
  </conditionalFormatting>
  <conditionalFormatting sqref="L42">
    <cfRule type="expression" dxfId="112" priority="305">
      <formula>C12&lt;&gt;"ピーク時特例方式"</formula>
    </cfRule>
  </conditionalFormatting>
  <conditionalFormatting sqref="L43">
    <cfRule type="expression" dxfId="111" priority="303">
      <formula>C12&lt;&gt;"ピーク時特例方式"</formula>
    </cfRule>
  </conditionalFormatting>
  <conditionalFormatting sqref="L44">
    <cfRule type="expression" dxfId="110" priority="4">
      <formula>C12&lt;&gt;$R$89</formula>
    </cfRule>
  </conditionalFormatting>
  <conditionalFormatting sqref="L45">
    <cfRule type="expression" dxfId="109" priority="2">
      <formula>C12&lt;&gt;$R$89</formula>
    </cfRule>
  </conditionalFormatting>
  <conditionalFormatting sqref="L38:M38">
    <cfRule type="expression" dxfId="108" priority="312">
      <formula>C12&lt;&gt;"ピーク時特例方式"</formula>
    </cfRule>
  </conditionalFormatting>
  <conditionalFormatting sqref="M39">
    <cfRule type="expression" dxfId="107" priority="310">
      <formula>C12&lt;&gt;"ピーク時特例方式"</formula>
    </cfRule>
  </conditionalFormatting>
  <conditionalFormatting sqref="M40">
    <cfRule type="expression" dxfId="106" priority="308">
      <formula>C12&lt;&gt;"ピーク時特例方式"</formula>
    </cfRule>
  </conditionalFormatting>
  <conditionalFormatting sqref="M41">
    <cfRule type="expression" dxfId="105" priority="306">
      <formula>C12&lt;&gt;"ピーク時特例方式"</formula>
    </cfRule>
  </conditionalFormatting>
  <conditionalFormatting sqref="M42">
    <cfRule type="expression" dxfId="104" priority="304">
      <formula>C12&lt;&gt;"ピーク時特例方式"</formula>
    </cfRule>
  </conditionalFormatting>
  <conditionalFormatting sqref="M43">
    <cfRule type="expression" dxfId="103" priority="302">
      <formula>C12&lt;&gt;"ピーク時特例方式"</formula>
    </cfRule>
  </conditionalFormatting>
  <conditionalFormatting sqref="M44">
    <cfRule type="expression" dxfId="102" priority="3">
      <formula>C12&lt;&gt;$R$89</formula>
    </cfRule>
  </conditionalFormatting>
  <conditionalFormatting sqref="M45">
    <cfRule type="expression" dxfId="101" priority="1">
      <formula>C12&lt;&gt;$R$89</formula>
    </cfRule>
  </conditionalFormatting>
  <conditionalFormatting sqref="M52:N52">
    <cfRule type="expression" dxfId="100" priority="326">
      <formula>C12&lt;&gt;"ピーク時特例方式"</formula>
    </cfRule>
  </conditionalFormatting>
  <conditionalFormatting sqref="X39:AC49">
    <cfRule type="expression" dxfId="99" priority="98">
      <formula>$C$12&lt;&gt;"ピーク時特例方式"</formula>
    </cfRule>
  </conditionalFormatting>
  <conditionalFormatting sqref="X50:AC50">
    <cfRule type="expression" dxfId="98" priority="50">
      <formula>$C$12&lt;&gt;"ピーク時特例方式"</formula>
    </cfRule>
  </conditionalFormatting>
  <conditionalFormatting sqref="Y27">
    <cfRule type="expression" dxfId="97" priority="276">
      <formula>$B$27=0</formula>
    </cfRule>
  </conditionalFormatting>
  <conditionalFormatting sqref="Y28">
    <cfRule type="expression" dxfId="96" priority="275">
      <formula>$B$28=0</formula>
    </cfRule>
  </conditionalFormatting>
  <conditionalFormatting sqref="Y29">
    <cfRule type="expression" dxfId="95" priority="274">
      <formula>$B$29=0</formula>
    </cfRule>
  </conditionalFormatting>
  <conditionalFormatting sqref="Y30">
    <cfRule type="expression" dxfId="94" priority="273">
      <formula>$B$30=0</formula>
    </cfRule>
  </conditionalFormatting>
  <conditionalFormatting sqref="Y31">
    <cfRule type="expression" dxfId="93" priority="272">
      <formula>$B$31=0</formula>
    </cfRule>
  </conditionalFormatting>
  <conditionalFormatting sqref="Y40">
    <cfRule type="expression" dxfId="92" priority="97">
      <formula>$B$39=0</formula>
    </cfRule>
  </conditionalFormatting>
  <conditionalFormatting sqref="Y41">
    <cfRule type="expression" dxfId="91" priority="96">
      <formula>$B$40=0</formula>
    </cfRule>
  </conditionalFormatting>
  <conditionalFormatting sqref="Y42">
    <cfRule type="expression" dxfId="90" priority="95">
      <formula>$B$41=0</formula>
    </cfRule>
  </conditionalFormatting>
  <conditionalFormatting sqref="Y43">
    <cfRule type="expression" dxfId="89" priority="94">
      <formula>$B$42=0</formula>
    </cfRule>
  </conditionalFormatting>
  <conditionalFormatting sqref="Y44">
    <cfRule type="expression" dxfId="88" priority="93">
      <formula>$B$43=0</formula>
    </cfRule>
  </conditionalFormatting>
  <conditionalFormatting sqref="Y45">
    <cfRule type="expression" dxfId="87" priority="92">
      <formula>$B$44=0</formula>
    </cfRule>
  </conditionalFormatting>
  <conditionalFormatting sqref="Z28">
    <cfRule type="expression" dxfId="86" priority="280">
      <formula>$C$28=0</formula>
    </cfRule>
  </conditionalFormatting>
  <conditionalFormatting sqref="Z29">
    <cfRule type="expression" dxfId="85" priority="279">
      <formula>$C$29=0</formula>
    </cfRule>
  </conditionalFormatting>
  <conditionalFormatting sqref="Z30">
    <cfRule type="expression" dxfId="84" priority="278">
      <formula>$C$30=0</formula>
    </cfRule>
  </conditionalFormatting>
  <conditionalFormatting sqref="Z31">
    <cfRule type="expression" dxfId="83" priority="277">
      <formula>$C$31=0</formula>
    </cfRule>
  </conditionalFormatting>
  <conditionalFormatting sqref="Z26:AA26">
    <cfRule type="expression" dxfId="82" priority="271">
      <formula>$C$26=0</formula>
    </cfRule>
  </conditionalFormatting>
  <conditionalFormatting sqref="Z27:AA27">
    <cfRule type="expression" dxfId="81" priority="270">
      <formula>$C$27=0</formula>
    </cfRule>
  </conditionalFormatting>
  <conditionalFormatting sqref="Z40:AA40">
    <cfRule type="expression" dxfId="80" priority="82">
      <formula>$C$39=0</formula>
    </cfRule>
  </conditionalFormatting>
  <conditionalFormatting sqref="Z41:AA41">
    <cfRule type="expression" dxfId="79" priority="81">
      <formula>$C$40=0</formula>
    </cfRule>
  </conditionalFormatting>
  <conditionalFormatting sqref="Z42:AA42">
    <cfRule type="expression" dxfId="78" priority="80">
      <formula>$C$41=0</formula>
    </cfRule>
  </conditionalFormatting>
  <conditionalFormatting sqref="Z43:AA43">
    <cfRule type="expression" dxfId="77" priority="79">
      <formula>$C$42=0</formula>
    </cfRule>
  </conditionalFormatting>
  <conditionalFormatting sqref="Z44:AA44">
    <cfRule type="expression" dxfId="76" priority="78">
      <formula>$C$43=0</formula>
    </cfRule>
  </conditionalFormatting>
  <conditionalFormatting sqref="Z45:AA45">
    <cfRule type="expression" dxfId="75" priority="77">
      <formula>$C$44=0</formula>
    </cfRule>
  </conditionalFormatting>
  <conditionalFormatting sqref="AA47">
    <cfRule type="expression" dxfId="74" priority="85">
      <formula>$D$46=0</formula>
    </cfRule>
  </conditionalFormatting>
  <conditionalFormatting sqref="AB27">
    <cfRule type="expression" dxfId="73" priority="269">
      <formula>$E$27=0</formula>
    </cfRule>
  </conditionalFormatting>
  <conditionalFormatting sqref="AB28">
    <cfRule type="expression" dxfId="72" priority="268">
      <formula>$E$28=0</formula>
    </cfRule>
  </conditionalFormatting>
  <conditionalFormatting sqref="AB29">
    <cfRule type="expression" dxfId="71" priority="267">
      <formula>$E$29=0</formula>
    </cfRule>
  </conditionalFormatting>
  <conditionalFormatting sqref="AB30">
    <cfRule type="expression" dxfId="70" priority="266">
      <formula>$E$30=0</formula>
    </cfRule>
  </conditionalFormatting>
  <conditionalFormatting sqref="AB31">
    <cfRule type="expression" dxfId="69" priority="265">
      <formula>$E$31=0</formula>
    </cfRule>
  </conditionalFormatting>
  <conditionalFormatting sqref="AB40">
    <cfRule type="expression" dxfId="68" priority="91">
      <formula>$E$39=0</formula>
    </cfRule>
  </conditionalFormatting>
  <conditionalFormatting sqref="AB41">
    <cfRule type="expression" dxfId="67" priority="90">
      <formula>$E$40=0</formula>
    </cfRule>
  </conditionalFormatting>
  <conditionalFormatting sqref="AB42">
    <cfRule type="expression" dxfId="66" priority="89">
      <formula>$E$41=0</formula>
    </cfRule>
  </conditionalFormatting>
  <conditionalFormatting sqref="AB43">
    <cfRule type="expression" dxfId="65" priority="88">
      <formula>$E$42=0</formula>
    </cfRule>
  </conditionalFormatting>
  <conditionalFormatting sqref="AB44">
    <cfRule type="expression" dxfId="64" priority="87">
      <formula>$E$43=0</formula>
    </cfRule>
  </conditionalFormatting>
  <conditionalFormatting sqref="AB45">
    <cfRule type="expression" dxfId="63" priority="86">
      <formula>$E$44=0</formula>
    </cfRule>
  </conditionalFormatting>
  <conditionalFormatting sqref="AC27">
    <cfRule type="expression" dxfId="62" priority="264">
      <formula>$F$27=0</formula>
    </cfRule>
  </conditionalFormatting>
  <conditionalFormatting sqref="AC28">
    <cfRule type="expression" dxfId="61" priority="263">
      <formula>$F$28=0</formula>
    </cfRule>
  </conditionalFormatting>
  <conditionalFormatting sqref="AC29">
    <cfRule type="expression" dxfId="60" priority="262">
      <formula>$F$29=0</formula>
    </cfRule>
  </conditionalFormatting>
  <conditionalFormatting sqref="AC30">
    <cfRule type="expression" dxfId="59" priority="261">
      <formula>$F$30=0</formula>
    </cfRule>
  </conditionalFormatting>
  <conditionalFormatting sqref="AC31">
    <cfRule type="expression" dxfId="58" priority="260">
      <formula>$F$31=0</formula>
    </cfRule>
  </conditionalFormatting>
  <conditionalFormatting sqref="AC46">
    <cfRule type="expression" dxfId="57" priority="84">
      <formula>$F$45=0</formula>
    </cfRule>
  </conditionalFormatting>
  <conditionalFormatting sqref="AC47">
    <cfRule type="expression" dxfId="56" priority="83">
      <formula>$F$46=0</formula>
    </cfRule>
  </conditionalFormatting>
  <conditionalFormatting sqref="AD26:AE26">
    <cfRule type="expression" dxfId="55" priority="259">
      <formula>$G$26=0</formula>
    </cfRule>
  </conditionalFormatting>
  <conditionalFormatting sqref="AD27:AE27">
    <cfRule type="expression" dxfId="54" priority="258">
      <formula>$G$27=0</formula>
    </cfRule>
  </conditionalFormatting>
  <conditionalFormatting sqref="AD28:AE28">
    <cfRule type="expression" dxfId="53" priority="257">
      <formula>$G$28=0</formula>
    </cfRule>
  </conditionalFormatting>
  <conditionalFormatting sqref="AD29:AE29">
    <cfRule type="expression" dxfId="52" priority="256">
      <formula>$G$29=0</formula>
    </cfRule>
  </conditionalFormatting>
  <conditionalFormatting sqref="AD30:AE30">
    <cfRule type="expression" dxfId="51" priority="255">
      <formula>$G$30=0</formula>
    </cfRule>
  </conditionalFormatting>
  <conditionalFormatting sqref="AD31:AE31">
    <cfRule type="expression" dxfId="50" priority="254">
      <formula>$G$31=0</formula>
    </cfRule>
  </conditionalFormatting>
  <conditionalFormatting sqref="AL39:AQ49">
    <cfRule type="expression" dxfId="49" priority="48">
      <formula>$C$12&lt;&gt;"ピーク時特例方式"</formula>
    </cfRule>
  </conditionalFormatting>
  <conditionalFormatting sqref="AL50:AQ50">
    <cfRule type="expression" dxfId="48" priority="25">
      <formula>$C$12&lt;&gt;"ピーク時特例方式"</formula>
    </cfRule>
  </conditionalFormatting>
  <conditionalFormatting sqref="AM27">
    <cfRule type="expression" dxfId="47" priority="221">
      <formula>$B$27=0</formula>
    </cfRule>
  </conditionalFormatting>
  <conditionalFormatting sqref="AM28">
    <cfRule type="expression" dxfId="46" priority="220">
      <formula>$B$28=0</formula>
    </cfRule>
  </conditionalFormatting>
  <conditionalFormatting sqref="AM29">
    <cfRule type="expression" dxfId="45" priority="219">
      <formula>$B$29=0</formula>
    </cfRule>
  </conditionalFormatting>
  <conditionalFormatting sqref="AM30">
    <cfRule type="expression" dxfId="44" priority="218">
      <formula>$B$30=0</formula>
    </cfRule>
  </conditionalFormatting>
  <conditionalFormatting sqref="AM31">
    <cfRule type="expression" dxfId="43" priority="217">
      <formula>$B$31=0</formula>
    </cfRule>
  </conditionalFormatting>
  <conditionalFormatting sqref="AM40">
    <cfRule type="expression" dxfId="42" priority="47">
      <formula>$B$39=0</formula>
    </cfRule>
  </conditionalFormatting>
  <conditionalFormatting sqref="AM41">
    <cfRule type="expression" dxfId="41" priority="46">
      <formula>$B$40=0</formula>
    </cfRule>
  </conditionalFormatting>
  <conditionalFormatting sqref="AM42">
    <cfRule type="expression" dxfId="40" priority="45">
      <formula>$B$41=0</formula>
    </cfRule>
  </conditionalFormatting>
  <conditionalFormatting sqref="AM43">
    <cfRule type="expression" dxfId="39" priority="44">
      <formula>$B$42=0</formula>
    </cfRule>
  </conditionalFormatting>
  <conditionalFormatting sqref="AM44">
    <cfRule type="expression" dxfId="38" priority="43">
      <formula>$B$43=0</formula>
    </cfRule>
  </conditionalFormatting>
  <conditionalFormatting sqref="AM45">
    <cfRule type="expression" dxfId="37" priority="42">
      <formula>$B$44=0</formula>
    </cfRule>
  </conditionalFormatting>
  <conditionalFormatting sqref="AN28">
    <cfRule type="expression" dxfId="36" priority="225">
      <formula>$C$28=0</formula>
    </cfRule>
  </conditionalFormatting>
  <conditionalFormatting sqref="AN29">
    <cfRule type="expression" dxfId="35" priority="224">
      <formula>$C$29=0</formula>
    </cfRule>
  </conditionalFormatting>
  <conditionalFormatting sqref="AN30">
    <cfRule type="expression" dxfId="34" priority="223">
      <formula>$C$30=0</formula>
    </cfRule>
  </conditionalFormatting>
  <conditionalFormatting sqref="AN31">
    <cfRule type="expression" dxfId="33" priority="222">
      <formula>$C$31=0</formula>
    </cfRule>
  </conditionalFormatting>
  <conditionalFormatting sqref="AN26:AO26">
    <cfRule type="expression" dxfId="32" priority="216">
      <formula>$C$26=0</formula>
    </cfRule>
  </conditionalFormatting>
  <conditionalFormatting sqref="AN27:AO27">
    <cfRule type="expression" dxfId="31" priority="215">
      <formula>$C$27=0</formula>
    </cfRule>
  </conditionalFormatting>
  <conditionalFormatting sqref="AN40:AO40">
    <cfRule type="expression" dxfId="30" priority="32">
      <formula>$C$39=0</formula>
    </cfRule>
  </conditionalFormatting>
  <conditionalFormatting sqref="AN41:AO41">
    <cfRule type="expression" dxfId="29" priority="31">
      <formula>$C$40=0</formula>
    </cfRule>
  </conditionalFormatting>
  <conditionalFormatting sqref="AN42:AO42">
    <cfRule type="expression" dxfId="28" priority="30">
      <formula>$C$41=0</formula>
    </cfRule>
  </conditionalFormatting>
  <conditionalFormatting sqref="AN43:AO43">
    <cfRule type="expression" dxfId="27" priority="29">
      <formula>$C$42=0</formula>
    </cfRule>
  </conditionalFormatting>
  <conditionalFormatting sqref="AN44:AO44">
    <cfRule type="expression" dxfId="26" priority="28">
      <formula>$C$43=0</formula>
    </cfRule>
  </conditionalFormatting>
  <conditionalFormatting sqref="AN45:AO45">
    <cfRule type="expression" dxfId="25" priority="27">
      <formula>$C$44=0</formula>
    </cfRule>
  </conditionalFormatting>
  <conditionalFormatting sqref="AO47">
    <cfRule type="expression" dxfId="24" priority="35">
      <formula>$D$46=0</formula>
    </cfRule>
  </conditionalFormatting>
  <conditionalFormatting sqref="AP27">
    <cfRule type="expression" dxfId="23" priority="214">
      <formula>$E$27=0</formula>
    </cfRule>
  </conditionalFormatting>
  <conditionalFormatting sqref="AP28">
    <cfRule type="expression" dxfId="22" priority="213">
      <formula>$E$28=0</formula>
    </cfRule>
  </conditionalFormatting>
  <conditionalFormatting sqref="AP29">
    <cfRule type="expression" dxfId="21" priority="212">
      <formula>$E$29=0</formula>
    </cfRule>
  </conditionalFormatting>
  <conditionalFormatting sqref="AP30">
    <cfRule type="expression" dxfId="20" priority="211">
      <formula>$E$30=0</formula>
    </cfRule>
  </conditionalFormatting>
  <conditionalFormatting sqref="AP31">
    <cfRule type="expression" dxfId="19" priority="210">
      <formula>$E$31=0</formula>
    </cfRule>
  </conditionalFormatting>
  <conditionalFormatting sqref="AP40">
    <cfRule type="expression" dxfId="18" priority="41">
      <formula>$E$39=0</formula>
    </cfRule>
  </conditionalFormatting>
  <conditionalFormatting sqref="AP41">
    <cfRule type="expression" dxfId="17" priority="40">
      <formula>$E$40=0</formula>
    </cfRule>
  </conditionalFormatting>
  <conditionalFormatting sqref="AP42">
    <cfRule type="expression" dxfId="16" priority="39">
      <formula>$E$41=0</formula>
    </cfRule>
  </conditionalFormatting>
  <conditionalFormatting sqref="AP43">
    <cfRule type="expression" dxfId="15" priority="38">
      <formula>$E$42=0</formula>
    </cfRule>
  </conditionalFormatting>
  <conditionalFormatting sqref="AP44">
    <cfRule type="expression" dxfId="14" priority="37">
      <formula>$E$43=0</formula>
    </cfRule>
  </conditionalFormatting>
  <conditionalFormatting sqref="AP45">
    <cfRule type="expression" dxfId="13" priority="36">
      <formula>$E$44=0</formula>
    </cfRule>
  </conditionalFormatting>
  <conditionalFormatting sqref="AQ27">
    <cfRule type="expression" dxfId="12" priority="209">
      <formula>$F$27=0</formula>
    </cfRule>
  </conditionalFormatting>
  <conditionalFormatting sqref="AQ28">
    <cfRule type="expression" dxfId="11" priority="208">
      <formula>$F$28=0</formula>
    </cfRule>
  </conditionalFormatting>
  <conditionalFormatting sqref="AQ29">
    <cfRule type="expression" dxfId="10" priority="207">
      <formula>$F$29=0</formula>
    </cfRule>
  </conditionalFormatting>
  <conditionalFormatting sqref="AQ30">
    <cfRule type="expression" dxfId="9" priority="206">
      <formula>$F$30=0</formula>
    </cfRule>
  </conditionalFormatting>
  <conditionalFormatting sqref="AQ31">
    <cfRule type="expression" dxfId="8" priority="205">
      <formula>$F$31=0</formula>
    </cfRule>
  </conditionalFormatting>
  <conditionalFormatting sqref="AQ46">
    <cfRule type="expression" dxfId="7" priority="34">
      <formula>$F$45=0</formula>
    </cfRule>
  </conditionalFormatting>
  <conditionalFormatting sqref="AQ47">
    <cfRule type="expression" dxfId="6" priority="33">
      <formula>$F$46=0</formula>
    </cfRule>
  </conditionalFormatting>
  <conditionalFormatting sqref="AR26:AS26">
    <cfRule type="expression" dxfId="5" priority="204">
      <formula>$G$26=0</formula>
    </cfRule>
  </conditionalFormatting>
  <conditionalFormatting sqref="AR27:AS27">
    <cfRule type="expression" dxfId="4" priority="203">
      <formula>$G$27=0</formula>
    </cfRule>
  </conditionalFormatting>
  <conditionalFormatting sqref="AR28:AS28">
    <cfRule type="expression" dxfId="3" priority="202">
      <formula>$G$28=0</formula>
    </cfRule>
  </conditionalFormatting>
  <conditionalFormatting sqref="AR29:AS29">
    <cfRule type="expression" dxfId="2" priority="201">
      <formula>$G$29=0</formula>
    </cfRule>
  </conditionalFormatting>
  <conditionalFormatting sqref="AR30:AS30">
    <cfRule type="expression" dxfId="1" priority="200">
      <formula>$G$30=0</formula>
    </cfRule>
  </conditionalFormatting>
  <conditionalFormatting sqref="AR31:AS31">
    <cfRule type="expression" dxfId="0" priority="199">
      <formula>$G$31=0</formula>
    </cfRule>
  </conditionalFormatting>
  <dataValidations xWindow="587" yWindow="561" count="29">
    <dataValidation type="custom" imeMode="disabled" allowBlank="1" showInputMessage="1" showErrorMessage="1" errorTitle="入力エラー" error="休職終了日③を再確認してください" promptTitle="休職終了日③" prompt="休職終了日を入力してください" sqref="J19:L19" xr:uid="{795D7084-7D69-447D-8EC3-C1493F8AA052}">
      <formula1>OR(AND($C$12&lt;&gt;"ピーク時特例方式",$J$19&gt;=$I$10,$J$19&lt;=$I$11,J19&gt;=J18),AND(C12="ピーク時特例方式",$J$19&gt;=$I$10,$J$19&lt;=$I$12,J19&gt;=J18))</formula1>
    </dataValidation>
    <dataValidation type="custom" imeMode="disabled" allowBlank="1" showInputMessage="1" showErrorMessage="1" errorTitle="入力エラー" error="休職開始日③を再確認してください" promptTitle="休職開始日③" prompt="上記休職終了日②以降に再度休職したとき入力してください" sqref="J18:L18" xr:uid="{D64DD0B7-21FB-4503-ADA7-C2E5115A7267}">
      <formula1>OR(AND($C$12&lt;&gt;"ピーク時特例方式",$J$18&gt;=$I$10,$J$18&lt;=$I$11,J18&gt;J17),AND(C12="ピーク時特例方式",$J$18&gt;=$I$10,$J$18&lt;=$I$12,J18&gt;J17))</formula1>
    </dataValidation>
    <dataValidation type="custom" imeMode="disabled" allowBlank="1" showInputMessage="1" showErrorMessage="1" errorTitle="入力エラー" error="休職終了日②を再確認してください" promptTitle="休職終了日②" prompt="休職終了日を入力してください" sqref="J17:L17" xr:uid="{20B1B46B-0AC1-4BB3-B23E-F62295FD3636}">
      <formula1>OR(AND($C$12&lt;&gt;"ピーク時特例方式",$J$17&gt;=$I$10,$J$17&lt;=$I$11,J17&gt;=J16),AND(C12="ピーク時特例方式",$J$17&gt;=$I$10,$J$17&lt;=$I$12,J17&gt;=J16))</formula1>
    </dataValidation>
    <dataValidation type="custom" imeMode="disabled" allowBlank="1" showInputMessage="1" showErrorMessage="1" errorTitle="入力エラー" error="休職開始日を再確認してください" promptTitle="休職開始日②" prompt="上記休職終了日①以降に再度休職したとき入力" sqref="J16:L16" xr:uid="{0BCABE6E-3CF5-4185-A23E-A2AAE2AF1759}">
      <formula1>OR(AND($C$12&lt;&gt;"ピーク時特例方式",$J$16&gt;=$I$10,$J$16&lt;=$I$11,J16&gt;J15),AND(C12="ピーク時特例方式",$J$16&gt;=$I$10,$J$16&lt;=$I$12,J16&gt;J15))</formula1>
    </dataValidation>
    <dataValidation type="custom" imeMode="disabled" allowBlank="1" showInputMessage="1" showErrorMessage="1" errorTitle="入力エラー" error="休職終了日を再確認してください" promptTitle="中断終了日①" prompt="中断終了日を入力してください" sqref="J15:L15" xr:uid="{098A5684-3B82-490A-8E04-0DA92FA71CF0}">
      <formula1>OR(AND($C$12&lt;&gt;"ピーク時特例方式",$J$15&gt;=$I$10,$J$15&lt;=$I$11,J15&gt;=J14),AND(C12="ピーク時特例方式",$J$15&gt;=$I$10,$J$15&lt;=$I$12,J15&gt;=J14))</formula1>
    </dataValidation>
    <dataValidation type="custom" imeMode="disabled" allowBlank="1" showInputMessage="1" showErrorMessage="1" errorTitle="入力エラー" error="休職開始日を再確認してください" promptTitle="中断開始日①" prompt="中断期間のある場合、中断開始日を入力してください" sqref="J14:L14" xr:uid="{5E4B67BC-C6A9-43B3-8A2C-79FA545EA480}">
      <formula1>OR(AND($C$12&lt;&gt;"ピーク時特例方式",$J$14&gt;=$I$10,$J$14&lt;=$I$11),AND(C12="ピーク時特例方式",$J$14&gt;=$I$10,$J$14&lt;=$I$12))</formula1>
    </dataValidation>
    <dataValidation type="custom" imeMode="disabled" operator="greaterThan" allowBlank="1" showInputMessage="1" showErrorMessage="1" error="入力金額を確認してください。（⑪欄の数字を一旦削除するとエラーが消えます。）" sqref="F15" xr:uid="{E943D152-200F-4F04-9C43-DE11B2FCB25C}">
      <formula1>F15&gt;=F16/1.04</formula1>
    </dataValidation>
    <dataValidation type="list" imeMode="disabled" allowBlank="1" showInputMessage="1" showErrorMessage="1" sqref="J55" xr:uid="{55BA2001-5695-4FD8-AAA9-501C22F2D1FD}">
      <formula1>"支店,支所"</formula1>
    </dataValidation>
    <dataValidation type="list" imeMode="disabled" allowBlank="1" showInputMessage="1" showErrorMessage="1" sqref="F55" xr:uid="{CD153048-DDF5-4D0A-89F2-7FE12B54723B}">
      <formula1>"銀行,農協,信用金庫"</formula1>
    </dataValidation>
    <dataValidation type="list" allowBlank="1" showInputMessage="1" showErrorMessage="1" sqref="C58" xr:uid="{C4F3A875-E333-49E3-89CA-EF85BBE4C13A}">
      <formula1>"普通,当座"</formula1>
    </dataValidation>
    <dataValidation type="custom" imeMode="disabled" showInputMessage="1" showErrorMessage="1" error="ピーク時特例方式でないため入力不可、又は定年延長後の基準給を再確認してください。" prompt="ピーク時特例方式の場合のみ入力してください" sqref="F17" xr:uid="{38CCF3BC-F824-4747-B799-C2F8459F8DAF}">
      <formula1>AND($C$12="ピーク時特例方式",F17&lt;F16)</formula1>
    </dataValidation>
    <dataValidation type="custom" allowBlank="1" showInputMessage="1" showErrorMessage="1" error="ピーク時特例方式でないため入力できません" sqref="B40:B44 C39:E44 D46 Y41:Y45 Z40:AB45 AA47 AM41:AM45 AN40:AP45 AO47" xr:uid="{BB62C28A-110D-4422-B383-05C95E672A43}">
      <formula1>$F$14="ピーク時特例方式"</formula1>
    </dataValidation>
    <dataValidation type="custom" allowBlank="1" showInputMessage="1" showErrorMessage="1" error="ピーク時特例方式でないため入力できません" sqref="B39 Y40 AM40" xr:uid="{CE1B8428-9338-40C2-B319-43EB8DEF1063}">
      <formula1>$C$12="ピーク時特例方式"</formula1>
    </dataValidation>
    <dataValidation imeMode="disabled" allowBlank="1" showInputMessage="1" showErrorMessage="1" sqref="E58:F58 C14:D14 L2:L3 H3" xr:uid="{88761F9C-C8B2-4FF4-90CC-22A91AAE3E51}"/>
    <dataValidation imeMode="on" allowBlank="1" showInputMessage="1" showErrorMessage="1" sqref="C55:E55 H55:I55 B21:F21 H58:N58 H4:H5 L4:L5" xr:uid="{8B09EF59-975F-4857-AA9E-4323B6A230A7}"/>
    <dataValidation type="list" showInputMessage="1" showErrorMessage="1" error="給付額計算方式はリストから選択してください" prompt="「給付額計算方式」欄を入力したら、次は右の日付欄を入力してください。（「加入日」「退職日」「制度退会日」「旧定年日」など）。_x000a_（日付欄を入力しないと、退職事由欄は入力できません。）" sqref="C12:F12" xr:uid="{95FA9C14-4163-4C7E-B54E-1905BBB116C3}">
      <formula1>"従前方式,制度退会方式,ピーク時特例方式"</formula1>
    </dataValidation>
    <dataValidation type="whole" imeMode="disabled" operator="greaterThan" allowBlank="1" showInputMessage="1" showErrorMessage="1" prompt="次は「②加入職員氏名」欄を入力してください。" sqref="C10:F10" xr:uid="{2A846FA1-4E52-4BD3-BD68-50FA09F03613}">
      <formula1>0</formula1>
    </dataValidation>
    <dataValidation type="custom" imeMode="disabled" operator="greaterThan" allowBlank="1" showInputMessage="1" showErrorMessage="1" error="⑩の4％増以内の金額を記入して下さい。" sqref="F16" xr:uid="{7BDB2F1B-5224-4748-8989-9B20BDCE9DA3}">
      <formula1>F16&lt;=F15*1.04</formula1>
    </dataValidation>
    <dataValidation type="custom" imeMode="disabled" showInputMessage="1" showErrorMessage="1" error="整理退職、業務上傷病退職、業務上死亡退職でないため入力不可" prompt="整理退職又は業務上傷病若しくは死亡による退職の場合、扶養手当額を記入してください。" sqref="F19" xr:uid="{936375E3-A7CC-4FF1-8BB5-C7CB40B09D1E}">
      <formula1>OR(C13="整理",C13="業務上傷病",C13="業務上死亡",A19&lt;&gt;"")</formula1>
    </dataValidation>
    <dataValidation type="custom" imeMode="disabled" showInputMessage="1" showErrorMessage="1" error="⑫の4％増以内金額を記入して下さい。" prompt="ピーク時特例方式の場合のみ入力してください" sqref="F18" xr:uid="{D858B5F2-F1EC-4859-B013-4F54F7BA401F}">
      <formula1>F18&lt;=F17*1.04</formula1>
    </dataValidation>
    <dataValidation type="custom" imeMode="on" allowBlank="1" showInputMessage="1" showErrorMessage="1" error="受給者が本人のため入力無効" prompt="「イ．その他」を選択した場合、受給者について、本人との続柄を記入して下さい。" sqref="E14:F14" xr:uid="{3EFFB40C-9BC3-4FC2-A796-6FA9012F3AC9}">
      <formula1>C14="イ．その他 　　　　　　　　　（右欄のとおり）"</formula1>
    </dataValidation>
    <dataValidation imeMode="halfKatakana" allowBlank="1" showInputMessage="1" showErrorMessage="1" sqref="H57:N57" xr:uid="{FD7C62AD-C9D1-4B9E-8264-2B34BF2C4B38}"/>
    <dataValidation type="custom" imeMode="disabled" allowBlank="1" showInputMessage="1" showErrorMessage="1" errorTitle="入力ミス" error="退職日、旧定年日または制度退会日を再確認してください" sqref="I11:L11" xr:uid="{ACF7468F-33C0-4CBF-A952-FECC095C6EB6}">
      <formula1>I11&gt;=I10</formula1>
    </dataValidation>
    <dataValidation type="custom" imeMode="disabled" allowBlank="1" showInputMessage="1" showErrorMessage="1" error="退職日を確認してください" sqref="I12:L12" xr:uid="{00A94E26-D7B8-4A70-82C2-73D94841F509}">
      <formula1>AND(C12="ピーク時特例方式",I12&gt;=I11,G12&lt;&gt;"")</formula1>
    </dataValidation>
    <dataValidation type="custom" imeMode="disabled" showInputMessage="1" showErrorMessage="1" error="ピーク時特例方式でない、又は整理退職、業務上傷病退職、業務上死亡退職でないため入力不可" prompt="整理退職又は業務上傷病若しくは死亡による退職の場合、扶養手当額を記入してください。" sqref="F20" xr:uid="{353ED5F1-BE2B-453B-ABF5-849CF65EA80C}">
      <formula1>OR(C13="整理",C13="業務上傷病",C13="業務上死亡",A20&lt;&gt;"")</formula1>
    </dataValidation>
    <dataValidation type="list" allowBlank="1" showInputMessage="1" showErrorMessage="1" error="退職事由はリストから選択してください" prompt="ここの選択前に、日付欄（加入日・退職日・旧定年日など）を入力してください。_x000a_加入期間15年未満の場合、定年退職および勧奨退職は選択できません(定年退職、勧奨退職のときは自己都合扱い）。" sqref="C13:F13" xr:uid="{1FD790D4-FED6-4DE0-AEA2-F9E55968BCCE}">
      <formula1>IF($E$22&lt;$R$63,$R$64:$R$72,IF(AND($E$22&gt;=$S$62,$E$22&lt;$S$63),$S$64:$S$72,IF(AND($E$22&gt;=$T$62,$E$22&lt;$T$63),$T$64:$T$72,IF(AND($E$22&gt;=$U$62,$E$22&lt;$U$63),$U$64:$U$72,IF($E$22&gt;=$V$62,$V$64:$V$72)))))</formula1>
    </dataValidation>
    <dataValidation imeMode="disabled" allowBlank="1" showInputMessage="1" showErrorMessage="1" prompt="日付は、西暦、元号いずれでも入力できます。_x000a_（西暦入力例）2001年4月1日加入⇒「2001-4-1」と入力_x000a_（元号入力例）平成13年4月1日加入⇒「H13-4-1」と入力_x000a_" sqref="I10:L10" xr:uid="{5B92E5D3-F5BB-45F5-8E60-FAFAF657ECFF}"/>
    <dataValidation imeMode="on" allowBlank="1" showInputMessage="1" showErrorMessage="1" prompt="次は、「給付額計算方式」欄を入力してください。" sqref="C11:F11" xr:uid="{2E3185B6-7800-4EE2-8FF4-90BF1E303F49}"/>
    <dataValidation imeMode="disabled" allowBlank="1" showInputMessage="1" showErrorMessage="1" prompt="日付は、西暦、元号いずれでも入力できます。_x000a_（西暦入力例）2025年2月1日付け請求⇒「2025-2-1」と入力_x000a_（元号入力例）令和7年2月1日付け請求⇒「R7-2-1」と入力" sqref="H2:J2" xr:uid="{21445F08-8BCA-44F8-8E21-3220C64690C8}"/>
  </dataValidations>
  <pageMargins left="0.55000000000000004" right="0.23622047244094491" top="0.54" bottom="0.15748031496062992" header="0.34" footer="0.22"/>
  <pageSetup paperSize="9" scale="80" orientation="portrait" r:id="rId1"/>
  <headerFooter>
    <oddHeader>&amp;L（様式第８号）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D5D2-DF92-4E45-8B60-1F7CE8EAB4D8}">
  <dimension ref="A1"/>
  <sheetViews>
    <sheetView workbookViewId="0">
      <selection activeCell="D8" sqref="D8"/>
    </sheetView>
  </sheetViews>
  <sheetFormatPr defaultRowHeight="18.75"/>
  <cols>
    <col min="2" max="2" width="26.625" bestFit="1" customWidth="1"/>
    <col min="3" max="3" width="22" bestFit="1" customWidth="1"/>
    <col min="4" max="4" width="26.625" bestFit="1" customWidth="1"/>
    <col min="5" max="5" width="23.75" bestFit="1" customWidth="1"/>
    <col min="6" max="6" width="17.5" bestFit="1" customWidth="1"/>
  </cols>
  <sheetData/>
  <phoneticPr fontId="5"/>
  <pageMargins left="0.4" right="0.3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D8B4-2A21-486E-BDC1-D7CD58E1E726}">
  <dimension ref="A19:A45"/>
  <sheetViews>
    <sheetView topLeftCell="A7" workbookViewId="0">
      <selection activeCell="C19" sqref="C19"/>
    </sheetView>
  </sheetViews>
  <sheetFormatPr defaultRowHeight="18.75"/>
  <cols>
    <col min="1" max="1" width="8.625" style="290"/>
  </cols>
  <sheetData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</sheetData>
  <sortState xmlns:xlrd2="http://schemas.microsoft.com/office/spreadsheetml/2017/richdata2" ref="A1:A20">
    <sortCondition ref="A1:A20"/>
  </sortState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積金給付請求書（様式８）</vt:lpstr>
      <vt:lpstr>Sheet2</vt:lpstr>
      <vt:lpstr>Sheet1</vt:lpstr>
      <vt:lpstr>'積金給付請求書（様式８）'!Print_Area</vt:lpstr>
      <vt:lpstr>'積金給付請求書（様式８）'!入力順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龍野克利</dc:creator>
  <cp:lastModifiedBy>龍野 克利</cp:lastModifiedBy>
  <cp:lastPrinted>2025-01-08T00:41:52Z</cp:lastPrinted>
  <dcterms:created xsi:type="dcterms:W3CDTF">2015-06-05T18:19:34Z</dcterms:created>
  <dcterms:modified xsi:type="dcterms:W3CDTF">2025-01-15T03:49:06Z</dcterms:modified>
</cp:coreProperties>
</file>